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0" windowWidth="15480" windowHeight="4545" tabRatio="896" firstSheet="16" activeTab="22"/>
  </bookViews>
  <sheets>
    <sheet name="SI_1" sheetId="1" r:id="rId1"/>
    <sheet name="COCOCO" sheetId="2" r:id="rId2"/>
    <sheet name="SI_1A(COMUNI-PROVINCE)" sheetId="3" r:id="rId3"/>
    <sheet name="SI_1A(UNIONE_COMUNI)" sheetId="4" r:id="rId4"/>
    <sheet name="SI_1A(COMUNITA_MONTANE)" sheetId="5" r:id="rId5"/>
    <sheet name="SI_2(1)" sheetId="6" r:id="rId6"/>
    <sheet name="SI_2(2)" sheetId="7" r:id="rId7"/>
    <sheet name="t1" sheetId="8" r:id="rId8"/>
    <sheet name="t2" sheetId="9" r:id="rId9"/>
    <sheet name="t2A" sheetId="10" r:id="rId10"/>
    <sheet name="t3" sheetId="11" r:id="rId11"/>
    <sheet name="t4" sheetId="12" r:id="rId12"/>
    <sheet name="t5" sheetId="13" r:id="rId13"/>
    <sheet name="t6" sheetId="14" r:id="rId14"/>
    <sheet name="t7" sheetId="15" r:id="rId15"/>
    <sheet name="t8" sheetId="16" r:id="rId16"/>
    <sheet name="t9" sheetId="17" r:id="rId17"/>
    <sheet name="t10" sheetId="18" r:id="rId18"/>
    <sheet name="t11" sheetId="19" r:id="rId19"/>
    <sheet name="t12" sheetId="20" r:id="rId20"/>
    <sheet name="t13" sheetId="21" r:id="rId21"/>
    <sheet name="t14" sheetId="22" r:id="rId22"/>
    <sheet name="t15(1)" sheetId="23" r:id="rId23"/>
    <sheet name="t15(2)" sheetId="24" r:id="rId24"/>
    <sheet name="Valori Medi" sheetId="25" r:id="rId25"/>
    <sheet name="Squadratura 1" sheetId="26" r:id="rId26"/>
    <sheet name="Squadratura 2" sheetId="27" r:id="rId27"/>
    <sheet name="Squadratura 3" sheetId="28" r:id="rId28"/>
    <sheet name="Squadratura 4" sheetId="29" r:id="rId29"/>
    <sheet name="Incongruenza 1" sheetId="30" r:id="rId30"/>
    <sheet name="Incongruenza 2" sheetId="31" r:id="rId31"/>
    <sheet name="Incongruenza 4 e controlli t14" sheetId="32" r:id="rId32"/>
    <sheet name="Incongruenza 5" sheetId="33" r:id="rId33"/>
    <sheet name="Incongruenza 6" sheetId="34" r:id="rId34"/>
    <sheet name="Incongruenza 7" sheetId="35" r:id="rId35"/>
    <sheet name="Foglio1" sheetId="36" r:id="rId36"/>
    <sheet name="Foglio2" sheetId="37" r:id="rId37"/>
    <sheet name="Foglio3" sheetId="38" r:id="rId38"/>
    <sheet name="Foglio4" sheetId="39" r:id="rId39"/>
  </sheets>
  <definedNames>
    <definedName name="_xlnm.Print_Area" localSheetId="1">'COCOCO'!$A$1:$H$27</definedName>
    <definedName name="_xlnm.Print_Area" localSheetId="0">'SI_1'!$A$1:$H$111</definedName>
    <definedName name="_xlnm.Print_Area" localSheetId="2">'SI_1A(COMUNI-PROVINCE)'!$A$1:$H$64</definedName>
    <definedName name="_xlnm.Print_Area" localSheetId="4">'SI_1A(COMUNITA_MONTANE)'!$A$1:$H$64</definedName>
    <definedName name="_xlnm.Print_Area" localSheetId="3">'SI_1A(UNIONE_COMUNI)'!$A$1:$H$64</definedName>
    <definedName name="_xlnm.Print_Area" localSheetId="5">'SI_2(1)'!$A$1:$L$209</definedName>
    <definedName name="_xlnm.Print_Area" localSheetId="6">'SI_2(2)'!$A$1:$L$209</definedName>
    <definedName name="_xlnm.Print_Area" localSheetId="25">'Squadratura 1'!$A$1:$J$49</definedName>
    <definedName name="_xlnm.Print_Area" localSheetId="26">'Squadratura 2'!$A$1:$L$50</definedName>
    <definedName name="_xlnm.Print_Area" localSheetId="27">'Squadratura 3'!$A$1:$Z$51</definedName>
    <definedName name="_xlnm.Print_Area" localSheetId="28">'Squadratura 4'!$A$1:$I$49</definedName>
    <definedName name="_xlnm.Print_Area" localSheetId="7">'t1'!$A$1:$M$53</definedName>
    <definedName name="_xlnm.Print_Area" localSheetId="17">'t10'!$A$1:$AV$51</definedName>
    <definedName name="_xlnm.Print_Area" localSheetId="18">'t11'!$A$1:$AB$53</definedName>
    <definedName name="_xlnm.Print_Area" localSheetId="19">'t12'!$A$1:$K$53</definedName>
    <definedName name="_xlnm.Print_Area" localSheetId="20">'t13'!$A$1:$P$52</definedName>
    <definedName name="_xlnm.Print_Area" localSheetId="21">'t14'!$A$1:$C$27</definedName>
    <definedName name="_xlnm.Print_Area" localSheetId="22">'t15(1)'!$A$1:$G$38</definedName>
    <definedName name="_xlnm.Print_Area" localSheetId="23">'t15(2)'!$A$1:$G$47</definedName>
    <definedName name="_xlnm.Print_Area" localSheetId="9">'t2A'!$A$1:$S$18</definedName>
    <definedName name="_xlnm.Print_Area" localSheetId="10">'t3'!$A$1:$R$54</definedName>
    <definedName name="_xlnm.Print_Area" localSheetId="11">'t4'!$A$1:$AT$51</definedName>
    <definedName name="_xlnm.Print_Area" localSheetId="12">'t5'!$A$1:$R$53</definedName>
    <definedName name="_xlnm.Print_Area" localSheetId="14">'t7'!$A$1:$V$51</definedName>
    <definedName name="_xlnm.Print_Area" localSheetId="15">'t8'!$A$1:$Z$52</definedName>
    <definedName name="_xlnm.Print_Area" localSheetId="16">'t9'!$A$1:$P$51</definedName>
    <definedName name="CODI_ISTITUZIONE" localSheetId="5">#REF!</definedName>
    <definedName name="CODI_ISTITUZIONE" localSheetId="6">#REF!</definedName>
    <definedName name="CODI_ISTITUZIONE">#REF!</definedName>
    <definedName name="CODI_ISTITUZIONE2">#REF!</definedName>
    <definedName name="DESC_ISTITUZIONE" localSheetId="5">#REF!</definedName>
    <definedName name="DESC_ISTITUZIONE" localSheetId="6">#REF!</definedName>
    <definedName name="DESC_ISTITUZIONE">#REF!</definedName>
    <definedName name="DESC_ISTITUZIONE2">#REF!</definedName>
    <definedName name="_xlnm.Print_Titles" localSheetId="29">'Incongruenza 1'!$4:$4</definedName>
    <definedName name="_xlnm.Print_Titles" localSheetId="7">'t1'!$1:$5</definedName>
    <definedName name="_xlnm.Print_Titles" localSheetId="17">'t10'!$A:$B,'t10'!$1:$2</definedName>
    <definedName name="_xlnm.Print_Titles" localSheetId="19">'t12'!$1:$5</definedName>
    <definedName name="_xlnm.Print_Titles" localSheetId="20">'t13'!$1:$5</definedName>
    <definedName name="_xlnm.Print_Titles" localSheetId="23">'t15(2)'!$3:$5</definedName>
    <definedName name="_xlnm.Print_Titles" localSheetId="8">'t2'!$1:$5</definedName>
    <definedName name="_xlnm.Print_Titles" localSheetId="11">'t4'!$A:$B,'t4'!$1:$5</definedName>
    <definedName name="_xlnm.Print_Titles" localSheetId="24">'Valori Medi'!$5:$5</definedName>
  </definedNames>
  <calcPr fullCalcOnLoad="1"/>
</workbook>
</file>

<file path=xl/sharedStrings.xml><?xml version="1.0" encoding="utf-8"?>
<sst xmlns="http://schemas.openxmlformats.org/spreadsheetml/2006/main" count="1634" uniqueCount="931">
  <si>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</si>
  <si>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</si>
  <si>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</si>
  <si>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</si>
  <si>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</si>
  <si>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</si>
  <si>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</si>
  <si>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</si>
  <si>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</si>
  <si>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</si>
  <si>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</si>
  <si>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</si>
  <si>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</si>
  <si>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</si>
  <si>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</si>
  <si>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</si>
  <si>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</si>
  <si>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</si>
  <si>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</si>
  <si>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</si>
  <si>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</si>
  <si>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</si>
  <si>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</si>
  <si>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</si>
  <si>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</si>
  <si>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</si>
  <si>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</si>
  <si>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</si>
  <si>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Contratti di collaborazione coordinata e continuativa</t>
  </si>
  <si>
    <t>Tavola di congruenza tra i giorni di assenza in Tabella 11 e i valori di Organico di Tabella 1, 3, 4, 5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</si>
  <si>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</si>
  <si>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</si>
  <si>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</si>
  <si>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</si>
  <si>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</si>
  <si>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</si>
  <si>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</si>
  <si>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</si>
  <si>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</si>
  <si>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RALN</t>
  </si>
  <si>
    <t>*(asterisco): si intende campo obbligatorio</t>
  </si>
  <si>
    <t>CONTRATTI DI COLLABORAZIONE COORDINATA E CONTINUATIVA</t>
  </si>
  <si>
    <t>SOMME CORRISPOSTE ALL'AGENZIA DI SOMMINISTRAZIONE (INTERINALI)</t>
  </si>
  <si>
    <t>ONERI PER I CONTRATTI DI SOMMINISTRAZIONE (INTERINALI)</t>
  </si>
  <si>
    <t>Contratti di somministrazione (ex interinale)</t>
  </si>
  <si>
    <t>Tavola di compresenza tra valori di organico di personale con rapporto di lavoro flessibile di Tabella 2 e Scheda Informativa 1 e relativa spesa di Tabella 14 (Incongruenza 1)</t>
  </si>
  <si>
    <t>Tipologia lavoro flessibile (Tab 2, SI_1)</t>
  </si>
  <si>
    <t>Unità annue 
(Tab 2, SI_1)</t>
  </si>
  <si>
    <t>Valore Medio Unitario:          b / a</t>
  </si>
  <si>
    <t>Contratti di somministrazione
(ex Interinale) (*)</t>
  </si>
  <si>
    <t>INDIRIZZO PAGINA WEB DELL'ENTE</t>
  </si>
  <si>
    <t>Sono stati costituiti i nuclei di valutazione per il personale dirigente?</t>
  </si>
  <si>
    <t>CONVENZIONI</t>
  </si>
  <si>
    <t>Passaggi ad altra Amministrazione dello stesso comparto (*)</t>
  </si>
  <si>
    <t>Passaggi ad altra Amministrazione di altro comparto (*)</t>
  </si>
  <si>
    <t>Personale stabilizzato da contratto a tempo determinato</t>
  </si>
  <si>
    <t>Personale stabilizzato da LSU</t>
  </si>
  <si>
    <t>LAUREA BREVE</t>
  </si>
  <si>
    <t>SPECIALIZZAZIONE
POST LAUREA/ DOTTORATO DI RICERCA</t>
  </si>
  <si>
    <t>ALTRI TITOLI
POST LAUREA</t>
  </si>
  <si>
    <t>FORMAZIONE</t>
  </si>
  <si>
    <t>a) Tecnico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</si>
  <si>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</si>
  <si>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</si>
  <si>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</si>
  <si>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</si>
  <si>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</si>
  <si>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</si>
  <si>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</si>
  <si>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</si>
  <si>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</si>
  <si>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</si>
  <si>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ha rispettato il patto di stabilità?</t>
  </si>
  <si>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</si>
  <si>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</si>
  <si>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</si>
  <si>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</si>
  <si>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</si>
  <si>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</si>
  <si>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</si>
  <si>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</si>
  <si>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</si>
  <si>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</si>
  <si>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</si>
  <si>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</si>
  <si>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</si>
  <si>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</si>
  <si>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</si>
  <si>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</si>
  <si>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</si>
  <si>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</si>
  <si>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</si>
  <si>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</si>
  <si>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</si>
  <si>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</si>
  <si>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</si>
  <si>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</si>
  <si>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</si>
  <si>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</si>
  <si>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</si>
  <si>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</si>
  <si>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</si>
  <si>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</si>
  <si>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</si>
  <si>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</si>
  <si>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</si>
  <si>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</si>
  <si>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</si>
  <si>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</si>
  <si>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</si>
  <si>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</si>
  <si>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</si>
  <si>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</si>
  <si>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</si>
  <si>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</si>
  <si>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</si>
  <si>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</si>
  <si>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</si>
  <si>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</si>
  <si>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</si>
  <si>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</si>
  <si>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</si>
  <si>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</si>
  <si>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</si>
  <si>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</si>
  <si>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</si>
  <si>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</si>
  <si>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</si>
  <si>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</si>
  <si>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</si>
  <si>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</si>
  <si>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</si>
  <si>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</si>
  <si>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</si>
  <si>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CODICE</t>
  </si>
  <si>
    <t>In part-time
fino al 50%</t>
  </si>
  <si>
    <t>In part-time
oltre il 50%</t>
  </si>
  <si>
    <t>A tempo determinato (*)</t>
  </si>
  <si>
    <t>Formazione lavoro (*)</t>
  </si>
  <si>
    <t>L.S.U.(*)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</si>
  <si>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</si>
  <si>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</si>
  <si>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</si>
  <si>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</si>
  <si>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</si>
  <si>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</si>
  <si>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</si>
  <si>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</si>
  <si>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</si>
  <si>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</si>
  <si>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</si>
  <si>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</si>
  <si>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</si>
  <si>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</si>
  <si>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</si>
  <si>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</si>
  <si>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</si>
  <si>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</si>
  <si>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</si>
  <si>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Qualifica/Posiz.economica/Profilo</t>
  </si>
  <si>
    <t>ASSEGNI PER IL NUCLEO FAMILIARE</t>
  </si>
  <si>
    <t>RETRIBUZIONI DEL PERSONALE CON CONTRATTO DI FORMAZIONE E LAVORO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</si>
  <si>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</si>
  <si>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</si>
  <si>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</si>
  <si>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</si>
  <si>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</si>
  <si>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</si>
  <si>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</si>
  <si>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</si>
  <si>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</si>
  <si>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</si>
  <si>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</si>
  <si>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</si>
  <si>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</si>
  <si>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</si>
  <si>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</si>
  <si>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</si>
  <si>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</si>
  <si>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</si>
  <si>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</si>
  <si>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</si>
  <si>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</si>
  <si>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</si>
  <si>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</si>
  <si>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</si>
  <si>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</si>
  <si>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41 e oltre</t>
  </si>
  <si>
    <t>fino a 19 anni</t>
  </si>
  <si>
    <t>tra 20 e 24 anni</t>
  </si>
  <si>
    <t>65 e oltre</t>
  </si>
  <si>
    <t>ENTRATI in: qualifica/posizione economica/profilo</t>
  </si>
  <si>
    <t>(a) personale a tempo indeterminato al quale viene applicato un contratto di lavoro di tipo privatistico (es.:tipografico,chimico,edile,metalmeccanico,portierato, ecc.)</t>
  </si>
  <si>
    <t>ARRETRATI ANNO CORRENTE</t>
  </si>
  <si>
    <t>ARRETRATI  ANNI PRECEDENTI</t>
  </si>
  <si>
    <t>NUMERO DI MENSILITA' (**)</t>
  </si>
  <si>
    <t xml:space="preserve">RETRIBUZIONI DEL PERSONALE A TEMPO DETERMINATO 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</si>
  <si>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</si>
  <si>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</si>
  <si>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>(*) tutti gli importi vanno indicati in euro e al netto degli oneri sociali (contributi ed IRAP) a carico del datore di lavoro</t>
  </si>
  <si>
    <t>COMPENSI PER IL PERSONALE ADDETTO AI  LAVORI SOCIALMENTE UTILI</t>
  </si>
  <si>
    <t xml:space="preserve">COMANDATI / DISTACCATI </t>
  </si>
  <si>
    <t>L109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</si>
  <si>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</si>
  <si>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</si>
  <si>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</si>
  <si>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</si>
  <si>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</si>
  <si>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</si>
  <si>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</si>
  <si>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</si>
  <si>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</si>
  <si>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</si>
  <si>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</si>
  <si>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</si>
  <si>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</si>
  <si>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</si>
  <si>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</si>
  <si>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</si>
  <si>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</si>
  <si>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</si>
  <si>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</si>
  <si>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</si>
  <si>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</si>
  <si>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</si>
  <si>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Fuori ruolo esterni (IN) (Tab 3)</t>
  </si>
  <si>
    <t>Comandati esterni (IN)  (Tab 3)</t>
  </si>
  <si>
    <t>Fuori ruolo interni (OUT) (Tab 3)</t>
  </si>
  <si>
    <t>h</t>
  </si>
  <si>
    <t>i</t>
  </si>
  <si>
    <t>l</t>
  </si>
  <si>
    <t>m</t>
  </si>
  <si>
    <t>n</t>
  </si>
  <si>
    <t>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</si>
  <si>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</si>
  <si>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</si>
  <si>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</si>
  <si>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</si>
  <si>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</si>
  <si>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</si>
  <si>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</si>
  <si>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</si>
  <si>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</si>
  <si>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</si>
  <si>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</si>
  <si>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</si>
  <si>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</si>
  <si>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</si>
  <si>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</si>
  <si>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</si>
  <si>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</si>
  <si>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</si>
  <si>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</si>
  <si>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</si>
  <si>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</si>
  <si>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</si>
  <si>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v. a. di f&lt;=5%</t>
  </si>
  <si>
    <t>Spesa media annua per stipendio (per 12 mensilità)</t>
  </si>
  <si>
    <t>Importi stipendiali contrattuali annui (per 12 mensilità)</t>
  </si>
  <si>
    <t>Scostamento percentuale</t>
  </si>
  <si>
    <t>Congruenza (max scostamento consentito +/- 5%)</t>
  </si>
  <si>
    <t>(*) Personale comandato e fuori ruolo verso altre Amministrazioni</t>
  </si>
  <si>
    <t>Tot Assunti (Tab 6)</t>
  </si>
  <si>
    <t>SQUADRATURA 5</t>
  </si>
  <si>
    <t>Controlli di coerenza</t>
  </si>
  <si>
    <t>IMPORTI</t>
  </si>
  <si>
    <t>Codici spesa</t>
  </si>
  <si>
    <t>Importi comunicati (Tab 14)</t>
  </si>
  <si>
    <t>Incidenza percentuale: Importi comunicati Tab 14 / (Tabella 12 + Tabella 13)</t>
  </si>
  <si>
    <t>SOMME RIMBORSATE ALLE AMMINISTRAZIONI PER SPESE DI PERSONALE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</si>
  <si>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</si>
  <si>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</si>
  <si>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</si>
  <si>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</si>
  <si>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>R.I.A./ PROGR. ECONOMICA DI ANZIANITA'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</si>
  <si>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</si>
  <si>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</si>
  <si>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</si>
  <si>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</si>
  <si>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</si>
  <si>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</si>
  <si>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</si>
  <si>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</si>
  <si>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</si>
  <si>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</si>
  <si>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</si>
  <si>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</si>
  <si>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</si>
  <si>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</si>
  <si>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</si>
  <si>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</si>
  <si>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</si>
  <si>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</si>
  <si>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</si>
  <si>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</si>
  <si>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</si>
  <si>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</si>
  <si>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</si>
  <si>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</si>
  <si>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</si>
  <si>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</si>
  <si>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</si>
  <si>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</si>
  <si>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</si>
  <si>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</si>
  <si>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</si>
  <si>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0D6000</t>
  </si>
  <si>
    <t>050000</t>
  </si>
  <si>
    <t>049000</t>
  </si>
  <si>
    <t>046000</t>
  </si>
  <si>
    <t>045000</t>
  </si>
  <si>
    <t>043000</t>
  </si>
  <si>
    <t>042000</t>
  </si>
  <si>
    <t>034000</t>
  </si>
  <si>
    <t>032000</t>
  </si>
  <si>
    <t>000061</t>
  </si>
  <si>
    <t>Categoria D</t>
  </si>
  <si>
    <t>CD</t>
  </si>
  <si>
    <t>Categoria C</t>
  </si>
  <si>
    <t>CC</t>
  </si>
  <si>
    <t>Categoria B</t>
  </si>
  <si>
    <t>CB</t>
  </si>
  <si>
    <t>Personale contrattista</t>
  </si>
  <si>
    <t>PC</t>
  </si>
  <si>
    <t>F997</t>
  </si>
  <si>
    <t>F998</t>
  </si>
  <si>
    <t>F999</t>
  </si>
  <si>
    <t>U998</t>
  </si>
  <si>
    <t>COMPENSI ONERI, RISCHI E DISAGI</t>
  </si>
  <si>
    <t xml:space="preserve">COMPENSI PRODUTTIVITA' </t>
  </si>
  <si>
    <t>I207</t>
  </si>
  <si>
    <t>I212</t>
  </si>
  <si>
    <t>S604</t>
  </si>
  <si>
    <t>S630</t>
  </si>
  <si>
    <t>S998</t>
  </si>
  <si>
    <t>S999</t>
  </si>
  <si>
    <t>T101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</si>
  <si>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</si>
  <si>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</si>
  <si>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</si>
  <si>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</si>
  <si>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</si>
  <si>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</si>
  <si>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</si>
  <si>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</si>
  <si>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</si>
  <si>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</si>
  <si>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</si>
  <si>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</si>
  <si>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</si>
  <si>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ESTERO</t>
  </si>
  <si>
    <t>ABBRUZZO</t>
  </si>
  <si>
    <t>FRIULI VENEZIA GIULIA</t>
  </si>
  <si>
    <t>PROVINCIA AUTONOMA TRENTO</t>
  </si>
  <si>
    <t>PROVINCIA AUTONOMA BOLZANO</t>
  </si>
  <si>
    <t>N° Civico</t>
  </si>
  <si>
    <t>F00</t>
  </si>
  <si>
    <t>SC1</t>
  </si>
  <si>
    <t>SS2</t>
  </si>
  <si>
    <t>Totale uomini e donne (Tab T5)</t>
  </si>
  <si>
    <t>Totale della Tabella T13</t>
  </si>
  <si>
    <t>TABELLE 12 -13 ASSENTI</t>
  </si>
  <si>
    <t>ANNO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</si>
  <si>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</si>
  <si>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</si>
  <si>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</si>
  <si>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</si>
  <si>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</si>
  <si>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COMPARTO REGIONI ED AUTONOMIE LOCALI</t>
  </si>
  <si>
    <t>051489</t>
  </si>
  <si>
    <t>058000</t>
  </si>
  <si>
    <t>057000</t>
  </si>
  <si>
    <t>056000</t>
  </si>
  <si>
    <t>0B7A00</t>
  </si>
  <si>
    <t>0B7000</t>
  </si>
  <si>
    <t>038490</t>
  </si>
  <si>
    <t>038491</t>
  </si>
  <si>
    <t>037492</t>
  </si>
  <si>
    <t>037493</t>
  </si>
  <si>
    <t>036494</t>
  </si>
  <si>
    <t>036495</t>
  </si>
  <si>
    <t>055000</t>
  </si>
  <si>
    <t>054000</t>
  </si>
  <si>
    <t>0A5000</t>
  </si>
  <si>
    <t>028000</t>
  </si>
  <si>
    <t>027000</t>
  </si>
  <si>
    <t>025000</t>
  </si>
  <si>
    <t>053000</t>
  </si>
  <si>
    <t>000096</t>
  </si>
  <si>
    <t>0D0102</t>
  </si>
  <si>
    <t>0D0103</t>
  </si>
  <si>
    <t>0D0485</t>
  </si>
  <si>
    <t>0D0104</t>
  </si>
  <si>
    <t>0D0097</t>
  </si>
  <si>
    <t>0D0098</t>
  </si>
  <si>
    <t>0D0095</t>
  </si>
  <si>
    <t>0D0100</t>
  </si>
  <si>
    <t>0D0099</t>
  </si>
  <si>
    <t>0D6A00</t>
  </si>
  <si>
    <t>052486</t>
  </si>
  <si>
    <t>052487</t>
  </si>
  <si>
    <t>051488</t>
  </si>
  <si>
    <t>Categoria A</t>
  </si>
  <si>
    <t>CA</t>
  </si>
  <si>
    <t xml:space="preserve">INDENNITA' DI VIGILANZA </t>
  </si>
  <si>
    <t>PERSONALE SCOLASTICO</t>
  </si>
  <si>
    <t>INDENNITA' DI COMPARTO</t>
  </si>
  <si>
    <t xml:space="preserve">FONDO SPECIFICHE RESPONSA-BILITA' </t>
  </si>
  <si>
    <t>ARRETRATI ANNI PRECEDENTI</t>
  </si>
  <si>
    <t>STRAORDINARIO</t>
  </si>
  <si>
    <t>I125</t>
  </si>
  <si>
    <t>I143</t>
  </si>
  <si>
    <t>I222</t>
  </si>
  <si>
    <t>S615</t>
  </si>
  <si>
    <t>F400</t>
  </si>
  <si>
    <t>F401</t>
  </si>
  <si>
    <t>F403</t>
  </si>
  <si>
    <t>F404</t>
  </si>
  <si>
    <t>F405</t>
  </si>
  <si>
    <t>F406</t>
  </si>
  <si>
    <t>F407</t>
  </si>
  <si>
    <t>F408</t>
  </si>
  <si>
    <t>F411</t>
  </si>
  <si>
    <t>U506</t>
  </si>
  <si>
    <t>F556</t>
  </si>
  <si>
    <t>F557</t>
  </si>
  <si>
    <t>F558</t>
  </si>
  <si>
    <t>F559</t>
  </si>
  <si>
    <t>F554</t>
  </si>
  <si>
    <t>F041</t>
  </si>
  <si>
    <t>U515</t>
  </si>
  <si>
    <t>U520</t>
  </si>
  <si>
    <t>U540</t>
  </si>
  <si>
    <t>U545</t>
  </si>
  <si>
    <t>U550</t>
  </si>
  <si>
    <t>U555</t>
  </si>
  <si>
    <t>U560</t>
  </si>
  <si>
    <t>U123</t>
  </si>
  <si>
    <t>NF</t>
  </si>
  <si>
    <t>*16</t>
  </si>
  <si>
    <t>ATTENZIONE: non compilare in caso in cui l'ente non è tenuto all'invio</t>
  </si>
  <si>
    <t>ATTENZIONE: LA PRESENTE TAVOLA NON VA CONSIDERATA PER GLI ENTI CHE NON SONO TENUTI ALL'INVIO DELLA TABELLA 10</t>
  </si>
  <si>
    <t>Congruenza          ( a&gt;0 e b&gt;0)</t>
  </si>
  <si>
    <t>giorno (gg)</t>
  </si>
  <si>
    <t>mese (mm)</t>
  </si>
  <si>
    <t>anno (aaaa)</t>
  </si>
  <si>
    <t>F470</t>
  </si>
  <si>
    <t>F473</t>
  </si>
  <si>
    <t>(b) personale assunto in base all'art. 90 del d.lgs. 267/2000 (cfr." istruzioni generali e specifiche di comparto" e "glossario")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</si>
  <si>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</si>
  <si>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</si>
  <si>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</si>
  <si>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</si>
  <si>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</si>
  <si>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</si>
  <si>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Sede autonoma</t>
  </si>
  <si>
    <t>% di superficie in area montana</t>
  </si>
  <si>
    <t>% di popolazione residente in area montana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</si>
  <si>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</si>
  <si>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</si>
  <si>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</si>
  <si>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</si>
  <si>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</si>
  <si>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</si>
  <si>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</si>
  <si>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</si>
  <si>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</si>
  <si>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Z01</t>
  </si>
  <si>
    <t>SI_1A</t>
  </si>
  <si>
    <t>T2A</t>
  </si>
  <si>
    <t>CoCoCo</t>
  </si>
  <si>
    <t>*17</t>
  </si>
  <si>
    <t>Indicare il numero dei contratti co.co.co. attivi nel corso dell’anno secondo la tipologia:</t>
  </si>
  <si>
    <t>*19</t>
  </si>
  <si>
    <t>*20</t>
  </si>
  <si>
    <t>Convenzioni esterni (IN) (Tab 3)</t>
  </si>
  <si>
    <t>Convenzioni interni (OUT) (Tab 3)</t>
  </si>
  <si>
    <t>o</t>
  </si>
  <si>
    <t>q</t>
  </si>
  <si>
    <t>r</t>
  </si>
  <si>
    <t>t</t>
  </si>
  <si>
    <t>Totale (Uomini + donne della sezione "Personale Esterno" COMANDATI / DISTACCATI + FUORI RUOLO+CONVENZIONI)+Mensilità medie da T12(mensilità /12)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</si>
  <si>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</si>
  <si>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</si>
  <si>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</si>
  <si>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</si>
  <si>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</si>
  <si>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</si>
  <si>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</si>
  <si>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</si>
  <si>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</si>
  <si>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</si>
  <si>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</si>
  <si>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</si>
  <si>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</si>
  <si>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</si>
  <si>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</si>
  <si>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</si>
  <si>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</si>
  <si>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</si>
  <si>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</si>
  <si>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</si>
  <si>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</si>
  <si>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</si>
  <si>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</si>
  <si>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</si>
  <si>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</si>
  <si>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 xml:space="preserve">     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</si>
  <si>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</si>
  <si>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</si>
  <si>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</si>
  <si>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</si>
  <si>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</si>
  <si>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</si>
  <si>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</si>
  <si>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</si>
  <si>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</si>
  <si>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</si>
  <si>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</si>
  <si>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</si>
  <si>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</si>
  <si>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</si>
  <si>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</si>
  <si>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</si>
  <si>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</si>
  <si>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</si>
  <si>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</si>
  <si>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</si>
  <si>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</si>
  <si>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</si>
  <si>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</si>
  <si>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</si>
  <si>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</si>
  <si>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</si>
  <si>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</si>
  <si>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</si>
  <si>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</si>
  <si>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</si>
  <si>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</si>
  <si>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Viene effettuata la valutazione delle prestazioni e dei risultati dei dipendenti (art. 6 CCNL 31/03/1999)?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</si>
  <si>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</si>
  <si>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</si>
  <si>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</si>
  <si>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</si>
  <si>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</si>
  <si>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</si>
  <si>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</si>
  <si>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</si>
  <si>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</si>
  <si>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</si>
  <si>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</si>
  <si>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 xml:space="preserve">Assunzione per chiamata diretta (L. 68/99 - categorie protette) </t>
  </si>
  <si>
    <t xml:space="preserve">Assunzione per chiamata numerica (L. 68/99 - categorie protette) </t>
  </si>
  <si>
    <t>POSIZIONI NELL'ANNO DI RILEVAZIONE</t>
  </si>
  <si>
    <t>Dettaglio delle posizioni organizzative in essere al 31.12</t>
  </si>
  <si>
    <t>INDENNITA' DI VACANZA CONTRATTUALE</t>
  </si>
  <si>
    <t>I422</t>
  </si>
  <si>
    <t>Telelavoro (**) Personale indicato in T1</t>
  </si>
  <si>
    <t>Passaggi da altra Amministrazione dello stesso comparto (*)</t>
  </si>
  <si>
    <t>Passaggi da altra Amministrazione di altro comparto (*)</t>
  </si>
  <si>
    <t>Tavola di controllo dei Valori Medi</t>
  </si>
  <si>
    <t>valori medi assenze</t>
  </si>
  <si>
    <t>valori medi annui pro-capite per voci retributive a carattere "stipendiale"</t>
  </si>
  <si>
    <t>valori medi annui pro-capite per indennità e compensi accessori</t>
  </si>
  <si>
    <r>
      <t xml:space="preserve">mensilità medie 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(mensilità/12)</t>
    </r>
  </si>
  <si>
    <t>ASSENZE RETRIBUITE</t>
  </si>
  <si>
    <t>ASSENZE NON RETRIBUITE</t>
  </si>
  <si>
    <t>STIPENDIO 
più I.I.S 
(compresi arr. anno corrente)</t>
  </si>
  <si>
    <r>
      <t xml:space="preserve">TOTALE VOCI STIPENDIALI
TABELLA 12
</t>
    </r>
    <r>
      <rPr>
        <sz val="7"/>
        <rFont val="Small Fonts"/>
        <family val="2"/>
      </rPr>
      <t>(esclusi arr. anni prec. e recuperi)</t>
    </r>
  </si>
  <si>
    <t>INDENNITA' FISSE</t>
  </si>
  <si>
    <t>ALTRE ACCESSORIE</t>
  </si>
  <si>
    <r>
      <t xml:space="preserve">TOTALE INDENNITA' FISSE ED ACCESSORIE
TABELLA 13
</t>
    </r>
    <r>
      <rPr>
        <sz val="7"/>
        <rFont val="Small Fonts"/>
        <family val="2"/>
      </rPr>
      <t>(esclusi arretrati anni precedenti)</t>
    </r>
  </si>
  <si>
    <t>COMPONENTI COLLEGIO DEI REVISORI (O ORGANO EQUIVALENTE)</t>
  </si>
  <si>
    <t>RESPONSABILE DEL PROCEDIMENTO AMMINISTRATIVO DI CUI ALLA LEGGE 7/8/90, N. 241 CAPO II°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</si>
  <si>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</si>
  <si>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</si>
  <si>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</si>
  <si>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Anzianità di servizio maturata al 31/12, anche in modo non continuativo, nell'attuale o in altre amministrazioni</t>
  </si>
  <si>
    <t>SEGRETARIO A</t>
  </si>
  <si>
    <t>SEGRETARIO B</t>
  </si>
  <si>
    <t>SEGRETARIO C</t>
  </si>
  <si>
    <t>DIRETTORE  GENERALE</t>
  </si>
  <si>
    <t>DIRIGENTE FUORI D.O.</t>
  </si>
  <si>
    <t>ALTE SPECIALIZZ. FUORI D.O.</t>
  </si>
  <si>
    <t>QUALIFICA DIRIGENZIALE TEMPO INDET.</t>
  </si>
  <si>
    <t>QUALIFICA DIRIGENZIALE TEMPO DETER.</t>
  </si>
  <si>
    <t>POSIZ. ECON. D6 - PROFILI ACCESSO D3</t>
  </si>
  <si>
    <t>POSIZ. ECON. D6 - PROFILO ACCESSO D1</t>
  </si>
  <si>
    <t>POSIZ.ECON. D5 PROFILI ACCESSO D3</t>
  </si>
  <si>
    <t>POSIZ.ECON. D5 PROFILI ACCESSO D1</t>
  </si>
  <si>
    <t>POSIZ.ECON. D4 PROFILI ACCESSO D3</t>
  </si>
  <si>
    <t>POSIZ.ECON. D4 PROFILI ACCESSO D1</t>
  </si>
  <si>
    <t>POSIZIONE ECONOMICA DI ACCESSO D3</t>
  </si>
  <si>
    <t>POSIZIONE ECONOMICA D3</t>
  </si>
  <si>
    <t>POSIZIONE ECONOMICA D2</t>
  </si>
  <si>
    <t>POSIZIONE ECONOMICA DI ACCESSO D1</t>
  </si>
  <si>
    <t>POSIZIONE ECONOMICA C5</t>
  </si>
  <si>
    <t>POSIZIONE ECONOMICA C4</t>
  </si>
  <si>
    <t>POSIZIONE ECONOMICA C3</t>
  </si>
  <si>
    <t>POSIZIONE ECONOMICA C2</t>
  </si>
  <si>
    <t>POSIZIONE ECONOMICA DI ACCESSO C1</t>
  </si>
  <si>
    <t>POSIZ. ECON. B7 - PROFILO ACCESSO B3</t>
  </si>
  <si>
    <t>POSIZ. ECON. B7 - PROFILO  ACCESSO B1</t>
  </si>
  <si>
    <t>POSIZ.ECON. B6 PROFILI ACCESSO B3</t>
  </si>
  <si>
    <t>POSIZ.ECON. B6 PROFILI ACCESSO B1</t>
  </si>
  <si>
    <t>POSIZ.ECON. B5 PROFILI ACCESSO B3</t>
  </si>
  <si>
    <t>POSIZ.ECON. B5 PROFILI ACCESSO B1</t>
  </si>
  <si>
    <t>POSIZ.ECON. B4 PROFILI ACCESSO B3</t>
  </si>
  <si>
    <t>POSIZ.ECON. B4 PROFILI ACCESSO B1</t>
  </si>
  <si>
    <t>POSIZIONE ECONOMICA DI ACCESSO B3</t>
  </si>
  <si>
    <t>POSIZIONE ECONOMICA B3</t>
  </si>
  <si>
    <t>POSIZIONE ECONOMICA B2</t>
  </si>
  <si>
    <t>POSIZIONE ECONOMICA DI ACCESSO B1</t>
  </si>
  <si>
    <t>POSIZIONE ECONOMICA A5</t>
  </si>
  <si>
    <t>POSIZIONE ECONOMICA A4</t>
  </si>
  <si>
    <t>POSIZIONE ECONOMICA A3</t>
  </si>
  <si>
    <t>POSIZIONE ECONOMICA A2</t>
  </si>
  <si>
    <t>POSIZIONE ECONOMICA DI ACCESSO A1</t>
  </si>
  <si>
    <t>CONTRATTISTI (a)</t>
  </si>
  <si>
    <t>COLLABORATORE A TEMPO DETERMIN. (b)</t>
  </si>
  <si>
    <t>TOTALE
(2+4+5+6+7-8)</t>
  </si>
  <si>
    <t>CCNL 22/1/04 ART. 32, C.1 (0,62%)</t>
  </si>
  <si>
    <t xml:space="preserve">CCNL 22/1/04 ART. 32, C.2 (0,50%) </t>
  </si>
  <si>
    <t>F476</t>
  </si>
  <si>
    <t>F479</t>
  </si>
  <si>
    <t>F481</t>
  </si>
  <si>
    <t>IND. DI COMPARTO QUOTA ART.33, C.4, LETT. A</t>
  </si>
  <si>
    <t>RIDETERMINAZIONE FONDO PROGRESSIONE ECONOMICA</t>
  </si>
  <si>
    <t>ASSENZE PER MALATTIA RETRIBUITE I SEMESTRE</t>
  </si>
  <si>
    <t>G1S</t>
  </si>
  <si>
    <t>G2S</t>
  </si>
  <si>
    <t>ASSENZE PER MALATTIA RETRIBUITE II SEMESTRE</t>
  </si>
  <si>
    <t>*24</t>
  </si>
  <si>
    <t>LEGGE 104/92 I SEMESTRE</t>
  </si>
  <si>
    <t>LEGGE 104/92 II SEMESTRE</t>
  </si>
  <si>
    <t>L1S</t>
  </si>
  <si>
    <t>L2S</t>
  </si>
  <si>
    <t>ASS.RETRIB.:MATERNITA',CONGEDO PARENT.,MALATTIA FIGLIO I SEM</t>
  </si>
  <si>
    <t>ASS.RETRIB.:MATERNITA',CONGEDO PARENT.,MALATTIA FIGLIO II SEM</t>
  </si>
  <si>
    <t>M1S</t>
  </si>
  <si>
    <t>M2S</t>
  </si>
  <si>
    <t>ALTRI PERMESSI ED ASSENZE RETRIBUITE I SEMESTRE</t>
  </si>
  <si>
    <t>N1S</t>
  </si>
  <si>
    <t>ALTRI PERMESSI ED ASSENZE RETRIBUITE II SEMESTRE</t>
  </si>
  <si>
    <t>N2S</t>
  </si>
  <si>
    <t>SCIOPERO</t>
  </si>
  <si>
    <t>Attraverso un bando ed una  successiva procedura comparativa?</t>
  </si>
  <si>
    <t>Per scelta dell'organo politico?</t>
  </si>
  <si>
    <t>Sulla base di altri fattori?</t>
  </si>
  <si>
    <t>Area A / Categoria A / Fascia I</t>
  </si>
  <si>
    <t>Area B / Categoria B / Fascia II</t>
  </si>
  <si>
    <t>Area C / Categoria C / Fascia III</t>
  </si>
  <si>
    <t>Area D / Categoria D</t>
  </si>
  <si>
    <t>U994</t>
  </si>
  <si>
    <t>IMPORTI ANCORA DA CONTRATTARE</t>
  </si>
  <si>
    <t>Tavola di compresenza tra importi comunicati in tab.13 e mensilità (tab.12) o personale esterno (tab.3)</t>
  </si>
  <si>
    <t>INFORMAZIONI ISTITUZIONE</t>
  </si>
  <si>
    <t>DOMANDE PRESENTI IN CIRCOLARE</t>
  </si>
  <si>
    <t>ESONERI AL 50%</t>
  </si>
  <si>
    <t>ESONERI AL 70%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</si>
  <si>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</si>
  <si>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</si>
  <si>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</si>
  <si>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</si>
  <si>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RIMBORSI RICEVUTI DALLE AMM. PER IL PERSONALE (A RIDUZIONE)</t>
  </si>
  <si>
    <t>SEGRETARIO GENERALE CCIAA</t>
  </si>
  <si>
    <t>Risoluzione rapporto di lavoro (40 anni contribuzione)</t>
  </si>
  <si>
    <t>Nomina da concorso</t>
  </si>
  <si>
    <t>C01</t>
  </si>
  <si>
    <t>C03</t>
  </si>
  <si>
    <t>C17</t>
  </si>
  <si>
    <t>C18</t>
  </si>
  <si>
    <t>C19</t>
  </si>
  <si>
    <t>C20</t>
  </si>
  <si>
    <t>C99</t>
  </si>
  <si>
    <t>A23</t>
  </si>
  <si>
    <t>A24</t>
  </si>
  <si>
    <t>A26</t>
  </si>
  <si>
    <t>A27</t>
  </si>
  <si>
    <t>A28</t>
  </si>
  <si>
    <t>A29</t>
  </si>
  <si>
    <t>A30</t>
  </si>
  <si>
    <t>A31</t>
  </si>
  <si>
    <t>S710</t>
  </si>
  <si>
    <t>COMPENSO AGGIUNTIVO AL SEGR. COMUNALE QUALE DIR. GENERALE</t>
  </si>
  <si>
    <t>In base alla programmazione triennale dei fabbisogni, l'amministrazione intende avvalersi nel 2010 della possibilità di cui all'art. 17 comma 11 della legge 102/09?</t>
  </si>
  <si>
    <t>Indicare il numero di unità di personale utilizzato a qualsiasi titolo (comando o altro) nelle attività esternalizzate con esclusione delle unità effettivamente cessate a seguito di esternalizzazioni.</t>
  </si>
  <si>
    <t>Quante persone ancora in servizio al 31.12.2009 non sono state assunte a tempo indeterminato (stabilizzate) pur essendo in possesso dei requisiti di cui alle l.f. 2007 e 2008 e leggi regionali?</t>
  </si>
  <si>
    <t>In base alla programmazione triennale dei fabbisogni, nell'ambito delle procedure concorsuali disposte per il 2010, quanti posti sono riservati al personale di cui all'art. 17 comma 10 della legge 102/09?</t>
  </si>
  <si>
    <t>In base alla programmazione triennale dei fabbisogni, quante persone si prevede di assumere nel 2010 in base all'art. 17 comma 12 della legge 102/09?</t>
  </si>
  <si>
    <t>Quanti sono i dipendenti che al 31.12.2009 in aspettativa per dottorato di ricerca con retribuzione a carico dell'amministrazione ai sensi dell'art. 52 comma 57 della legge 448/2001 (l.f. 2002)?</t>
  </si>
  <si>
    <t>Quante persone sono state impiegate nel 2009 (a tempo determinato, con contratti co.co.co. o con incarichi) il cui costo è sostenuto attraverso finanziamenti esterni dell’Unione europea o di privati?</t>
  </si>
  <si>
    <t>L'Ente fa parte di una "Unione di Comuni", ai sensi dell'art. 32 del d.lgs 267/2000 o di analoghe disposizioni delle Regioni e Province Autonome?</t>
  </si>
  <si>
    <t>E’ stato stilato il piano di triennale dei fabbisogni di personale previsto dall’art. 39, comma 1, della Legge 449 del 1997, o di analoghe disposizioni delle Regioni e Province Autonome?</t>
  </si>
  <si>
    <t>E’ stato stilato il piano annuale delle assunzioni previsto dall’art. 20 della Legge 448/2001, o di analoghe disposizioni delle Regioni e Province Autonome?</t>
  </si>
  <si>
    <t>Se sì, è stato nominato ai sensi del:</t>
  </si>
  <si>
    <t>L’ente ha attive al 31/12 convenzioni con altri enti ai sensi dell’art. 30 del T.U. , o di analoghe disposizioni delle Regioni e Province Autonome?</t>
  </si>
  <si>
    <t>Numero di unità di personale assunti come stagionali a progetto (l.296/2006 comma 564 o di analoghe disposizioni delle Regioni e Province Autonome)</t>
  </si>
  <si>
    <t>NUMERO UNITA'</t>
  </si>
  <si>
    <t>Numero di persone in ingresso o uscita con mobilità fra pubblico e privato ex art. 23 bis comma 7 d.lgs.165/2001 o di analoghe disposizioni delle Regioni e Province Autonome</t>
  </si>
  <si>
    <t>Enti soggetti al patto di stabilità interno – è stato rispettato l’art. 1,  c. 557, l.f. per l’anno 2007 e l'art. 76, c. 7, legge 133/2008, o di analoghe disposizioni delle Regioni e Province Autonome?</t>
  </si>
  <si>
    <t>Enti non soggetti al patto di stabilità interno – è stato rispettato ll’art. 1,  c. 562, l.f. per l’anno 2007 e l'art. 76, c. 7, legge 133/2008, o di analoghe disposizioni delle Regioni e Province Autonome?</t>
  </si>
  <si>
    <t>Inserire in ciascuna riga il codice di un Comune che partecipa all'Ente (vedi ‘LISTA ISTITUZIONI’ scaricata con il KIT)</t>
  </si>
  <si>
    <t>numero posti</t>
  </si>
  <si>
    <t>Risorse fisse</t>
  </si>
  <si>
    <t>F934</t>
  </si>
  <si>
    <t>F935</t>
  </si>
  <si>
    <t>F936</t>
  </si>
  <si>
    <t>F937</t>
  </si>
  <si>
    <t>F938</t>
  </si>
  <si>
    <t>F939</t>
  </si>
  <si>
    <t>F940</t>
  </si>
  <si>
    <t>F941</t>
  </si>
  <si>
    <t>F942</t>
  </si>
  <si>
    <t>CCNL 23.12.99 ART. 26 C. 1 L. A) (POS. E RISULTATO 1998)</t>
  </si>
  <si>
    <t>CCNL 23.12.99 ART. 26 C. 1 L. D) (INCREM. ANNO 2000)</t>
  </si>
  <si>
    <t>CCNL 23.12.99 ART. 26 C. 1 L. I) (OMNICOMPRENSIVITÀ)</t>
  </si>
  <si>
    <t>CCNL 23.12.99 ART. 26. C. 2 (1,2% MONTE SALARI 1997)</t>
  </si>
  <si>
    <t>CCNL 12.2.02 ART. 1 C. 3, L. E) (RID. FONDO 3.356,97 EURO)</t>
  </si>
  <si>
    <t>CCNL 22.2.06 ART. 23. C. 1 (520 EURO RETR. POS.)</t>
  </si>
  <si>
    <t>CCNL 22.2.06 ART. 23. C. 3 (1,66% POS. E RIS.)</t>
  </si>
  <si>
    <t>CCNL 14.5.07 ART. 4. C. 1 (1.144 EURO RETR. POS. RIC.)</t>
  </si>
  <si>
    <t>CCNL 14.5.07 ART. 4. C. 2 (1.144 EURO RETR. POS. NON RIC.)</t>
  </si>
  <si>
    <t>CCNL 14.5.07 ART. 4. C. 4 (0,89% POS. E RIS.)</t>
  </si>
  <si>
    <t>CCNL 22.02.10 ART. 16 C. 1 (478,4 EURO RETR. POS. RIC.)</t>
  </si>
  <si>
    <t>CCNL 22.02.10 ART. 16 C. 2 (478,4 EURO RETR. POS. NON RIC.)</t>
  </si>
  <si>
    <t>PROCESSI DI DECENTRAMENTO (ART. 26 C. 1 L. F) CCNL 23.12.99)</t>
  </si>
  <si>
    <t>RIA MAT. EC. PERS. CESS. (ART. 26 C. 1 L. G) CCNL 23.12.99)</t>
  </si>
  <si>
    <t>INCREM. DOT. ORG. (ART. 26 C. 3 - PARTE FISSA CCNL 23.12.99)</t>
  </si>
  <si>
    <t>RID. STABILE ORG. DIRIG. (ART. 26 C. 5 CCNL 23.12.99)</t>
  </si>
  <si>
    <t>RIDUZIONI DEL FONDO / PARTE FISSA</t>
  </si>
  <si>
    <t>ALTRE RISORSE (RISORSE FISSE)</t>
  </si>
  <si>
    <t>Totale Risorse fisse</t>
  </si>
  <si>
    <t>Risorse variabili</t>
  </si>
  <si>
    <t>F943</t>
  </si>
  <si>
    <t>F944</t>
  </si>
  <si>
    <t>F930</t>
  </si>
  <si>
    <t>F993</t>
  </si>
  <si>
    <t>F995</t>
  </si>
  <si>
    <t>SPONSORIZZAZIONI (ART. 26 C. 1 L. B) CCNL 23.12.99)</t>
  </si>
  <si>
    <t>SPEC. DISP. DI LEGGE (ART. 26 C. 1 L. E) CCNL 23.12.99)</t>
  </si>
  <si>
    <t>RIORGANIZZ. (ART. 26 C. 3 - PARTE VARIAB. CCNL 23.12.99)</t>
  </si>
  <si>
    <t>LIQUID. SENTENZE FAVOREVOLI ALL'ENTE (ART. 37 CCNL 23.12.99)</t>
  </si>
  <si>
    <t>QUOTE PER LA PROGETTAZIONE (ART. 92 CC. 5-6  D.LGS. 163/06)</t>
  </si>
  <si>
    <t>RIDUZIONI DEL FONDO / PARTE VARIABILE</t>
  </si>
  <si>
    <t>ALTRE RISORSE (RISORSE VARIABILI)</t>
  </si>
  <si>
    <t>SOMME NON UTILIZZATE FONDO ANNO PRECEDENTE</t>
  </si>
  <si>
    <t>Totale Risorse variabili</t>
  </si>
  <si>
    <t>Destinazioni regolate dall'accordo annuale sull'utilizzo</t>
  </si>
  <si>
    <t>U439</t>
  </si>
  <si>
    <t>U440</t>
  </si>
  <si>
    <t>RETR. DI POSIZIONE (ART. 27 CCNL 23.12.99) - DELL'ANNO</t>
  </si>
  <si>
    <t>RETR. DI RISULTATO (ART. 28 CCNL 23.12.99) - DELL'ANNO</t>
  </si>
  <si>
    <t>Destinazioni vincolate / storiche</t>
  </si>
  <si>
    <t>U441</t>
  </si>
  <si>
    <t>U442</t>
  </si>
  <si>
    <t>U443</t>
  </si>
  <si>
    <t>U444</t>
  </si>
  <si>
    <t>RETR. DI POSIZIONE (ART. 27 CCNL 23.12.99) - VINCOLATA</t>
  </si>
  <si>
    <t>RETR. DI RISULTATO (ART. 28 CCNL 23.12.99) - VINCOLATA</t>
  </si>
  <si>
    <t>INCENT. PER LA PROGETTAZIONE (ART. 92 CC. 5-6 D.LGS. 163/06)</t>
  </si>
  <si>
    <t>COMPENSI PROF.LI AVVOCATURA (ART. 37 CCNL 23.12.99)</t>
  </si>
  <si>
    <t>REC. EV. ICI (ART3 C57 L. 662/96 ART59 C1 L. P) DLGS 446/97</t>
  </si>
  <si>
    <t>Totale Destinazioni vincolate / storiche</t>
  </si>
  <si>
    <t>Totale Destinazioni accordo annuale utilizzo</t>
  </si>
  <si>
    <t>Code contrattuali</t>
  </si>
  <si>
    <t>Totale Code contrattuali</t>
  </si>
  <si>
    <t>F917</t>
  </si>
  <si>
    <t>F918</t>
  </si>
  <si>
    <t>F919</t>
  </si>
  <si>
    <t>UNICO IMPORTO CONSOLIDATO (ART.31 C.2 1° PER. CCNL 22.1.04)</t>
  </si>
  <si>
    <t>CCNL22/1/04 ART.32, C.7(0,20% alte prof.)</t>
  </si>
  <si>
    <t>CCNL 9/5/06 ART.4, C. 1  (EELL)</t>
  </si>
  <si>
    <t>CCNL 9/5/06 ART.4,C.4,5 (Cciaa-Regioni)</t>
  </si>
  <si>
    <t>CCNL 11/04/2008 A.8 C.2(EE.LL.)</t>
  </si>
  <si>
    <t>CCNL 11/04/2008 ART 8 C.5 (CCIAA)</t>
  </si>
  <si>
    <t>CCNL 11.4.08 ART. 8. C. 6 (REGIONI)</t>
  </si>
  <si>
    <t>CCNL11/04/2008 ART.8 C. 7 (ALTRI ENTI)</t>
  </si>
  <si>
    <t>INCREM. DOTAZIONE ORG. (ART. 15 C. 5 RIS. FISSE CCNL 1.4.99)</t>
  </si>
  <si>
    <t>RIA / ASS. AD PERS. CESSATI (ART. 4 C. 2 CCNL 5.10.01)</t>
  </si>
  <si>
    <t>F920</t>
  </si>
  <si>
    <t>F921</t>
  </si>
  <si>
    <t>F922</t>
  </si>
  <si>
    <t>F923</t>
  </si>
  <si>
    <t>F924</t>
  </si>
  <si>
    <t>F925</t>
  </si>
  <si>
    <t>F926</t>
  </si>
  <si>
    <t>F927</t>
  </si>
  <si>
    <t>F928</t>
  </si>
  <si>
    <t>F929</t>
  </si>
  <si>
    <t>F931</t>
  </si>
  <si>
    <t>F932</t>
  </si>
  <si>
    <t>F933</t>
  </si>
  <si>
    <t>CCNL 31.7.09 ART. 4. C. 2 (EELL - PARTE VARIAB.)</t>
  </si>
  <si>
    <t>CCNL 31.7.09 ART. 4. C. 3 (CAP. AAMM - PARTE VARIAB.)</t>
  </si>
  <si>
    <t>CCNL 31.7.09 ART. 4. C. 4 (REGIONI - PARTE VARIAB.)</t>
  </si>
  <si>
    <t>CCNL 31.7.09 ART. 4. C. 6 (CCIAA - PARTE VARIAB.)</t>
  </si>
  <si>
    <t>CCNL 31.7.09 ART. 4. C. 7 (ALTRI ENTI - PARTE VARIAB.)</t>
  </si>
  <si>
    <t>NUOVI SERV. O RIORG. (ART. 15 C. 5 - VARIAB. CCNL 1.4.99)</t>
  </si>
  <si>
    <t>RISP. DA STRAORD. (ART. 15 C. 1 LETT. M) CCNL 1.4.99)</t>
  </si>
  <si>
    <t>SPONSORIZZAZIONI (ART. 4 C. 4 CCNL 5.10.01)</t>
  </si>
  <si>
    <t>RECUPERO EVASIONE ICI (ART. 4 C. 3 CCNL 5.10.01)</t>
  </si>
  <si>
    <t>SPEC. DISP. DI LEGGE (ART. 4 C. 3 CCNL 5.10.01)</t>
  </si>
  <si>
    <t>CCIAA EQ. FINANZ. (ART. 15 C. 1 LETT. N) CCNL 1.4.99)</t>
  </si>
  <si>
    <t>INTEGRAZIONE 1,2% (ART. 15 C. 2 CCNL 1.4.99)</t>
  </si>
  <si>
    <t>MESSI NOTIFICATORI (ART. 54 CCNL 14.9.00)</t>
  </si>
  <si>
    <t>Risorse a carico del bilancio</t>
  </si>
  <si>
    <t>Totale Risorse a carico del bilancio</t>
  </si>
  <si>
    <t>Destinazioni regolate dall'accordo Annuale di utilizzo</t>
  </si>
  <si>
    <t>POS. ORGANIZZ. (ART. 17 C.2 L. C CCNL 1.4.99) - DELL'ANNO</t>
  </si>
  <si>
    <t>PRODUTTIVITÀ COLLETTIVA (ART. 17 C. 2 L. A CCNL 31.3.99)</t>
  </si>
  <si>
    <t>U252</t>
  </si>
  <si>
    <t>PRODUTTIVITÀ INDIVIDUALE (ART. 17 C. 2 L. A CCNL 31.3.99)</t>
  </si>
  <si>
    <t>U253</t>
  </si>
  <si>
    <t>TURNO RISCHIO DISAGIO ECC. (ART. 17 C. 2 LL. D-E CCNL 1.4.99)</t>
  </si>
  <si>
    <t>U254</t>
  </si>
  <si>
    <t>ALTRI ISTITUTI REGOLATI DALL'ACCORDO ANNUALE</t>
  </si>
  <si>
    <t>U995</t>
  </si>
  <si>
    <t>IND. DI COMPARTO (ART. 33 CCNL 22.1.04)</t>
  </si>
  <si>
    <t>PROGR. ORIZZ. (ART. 17 C. 2 L. C CCNL 1.4.99) - VINCOLATE</t>
  </si>
  <si>
    <t>U255</t>
  </si>
  <si>
    <t>POS. ORGANIZZ. (ART. 10 C. 2 L. C) CCNL 31.3.99) - VINCOLATE</t>
  </si>
  <si>
    <t>U256</t>
  </si>
  <si>
    <t>TURNO RISCHIO DISAGIO ECC. (ART. 17 C.2 LL. D-E CCNL 1.4.99)</t>
  </si>
  <si>
    <t>U257</t>
  </si>
  <si>
    <t>PARTICOLARI RESPONSABILITÀ (ART. 7 C. 1 CCNL 9.5.06)</t>
  </si>
  <si>
    <t>U258</t>
  </si>
  <si>
    <t>RESPONSABILITÀ VIGILI (ART. 29 C. 8 CCNL 14.9.00)</t>
  </si>
  <si>
    <t>VIGILI E PERS. AUSILIARIO (CCNL 31.3.99 ART. 7 C. 7)</t>
  </si>
  <si>
    <t>U259</t>
  </si>
  <si>
    <t>PERS. EDUCATIVO AS. NIDO (ART. 31 C. 7 CCNL 14.9.00)</t>
  </si>
  <si>
    <t>PERS. EDUCATIVO E DOC. SCOLASTICO (ART. 6 CCNL 14.9.00)</t>
  </si>
  <si>
    <t>INCENTIVI PERS. SCUOLE MATERNE (ART. 30 C. 7 CCNL 14.9.00)</t>
  </si>
  <si>
    <t>U260</t>
  </si>
  <si>
    <t>INCENTIVI SPECIF. ATTIVITÀ (ART. 17 C.2 LETT. G CCNL 1.4.99)</t>
  </si>
  <si>
    <t>INCENTIVI CCIAA (ART. 17 C. 2 L. H CCNL 1.4.99)</t>
  </si>
  <si>
    <t>INCENT. PROGETTAZIONE (ART. 92 CC. 5-6 D.LGS. 163/06)</t>
  </si>
  <si>
    <t>U261</t>
  </si>
  <si>
    <t>ALTRE DESTINAZIONI VINCOLATE / STORICHE</t>
  </si>
  <si>
    <t>ACCANT. CCNL 22.1.04 ART. 32 C. 7 (ALTE PROFESS.)</t>
  </si>
  <si>
    <t>U262</t>
  </si>
  <si>
    <t>Indicare il numero dei contratti di collaborazione coordinata e continuativa</t>
  </si>
  <si>
    <t>Indicare il numero degli incarichi libero professionale, studio, ricerca e consulenza</t>
  </si>
  <si>
    <t>Indicare il numero di contratti per prestazioni professionali consistenti nella resa di servizi o adempimenti obbligatori per legge</t>
  </si>
  <si>
    <t>Indicare il totale delle somme trattenute ai dipendenti nel 2009 per le assenze per malattia in applicazione dell'art. 71 del D.L. n. 112 del 25/06/2008 convertito in L. 133/2008</t>
  </si>
  <si>
    <t>Indicare il numero delle unità tra i presenti al 31.12.2009 di Tab.1 che appartengono alle categorie protette (Legge n.68/99)</t>
  </si>
  <si>
    <t xml:space="preserve">INCARICHI LIBERO PROFESSIONALI/STUDIO/RICERCA/CONSULENZA </t>
  </si>
  <si>
    <t>CONTRATTI PER RESA SERVIZI/ADEMPIMENTI OBBLIGATORI PER LEGGE</t>
  </si>
  <si>
    <t>L115</t>
  </si>
  <si>
    <t>PERSONALE NON DIRIGENTE</t>
  </si>
  <si>
    <t>Data atto costituzione Fondo/i per la contrattazione integrativa 2009:</t>
  </si>
  <si>
    <t>Data certificazione positiva revisori dei conti dell'accordo annuale vigente:</t>
  </si>
  <si>
    <t>Data entrata in vigore dell'Accordo annuale vigente:</t>
  </si>
  <si>
    <t>Anno di riferimento dell'accordo annuale vigente alla data di compilazione o aggiornamento della della presente scheda:</t>
  </si>
  <si>
    <t>Importo complessivo della variazione del fondo posizione e risultato 2009 rispetto all'analogo fondo 2008 (in euro):</t>
  </si>
  <si>
    <t>Percentuale delle risorse complessive del Fondo 2009 regolate dall'accordo annuale sull'utilizzo del Fondo:</t>
  </si>
  <si>
    <t>RISULTATO REGOLATO DALL'ACCORDO ANNUALE SULL'UTILIZZO DELLE RISORSE</t>
  </si>
  <si>
    <t>Numero dirigenti con retribuzione di risultato Fondo 2009 inferiore o uguale al 60% del massimo attribuito</t>
  </si>
  <si>
    <t>Importo complessivo della variazione del fondo 2009 rispetto all'analogo fondo 2008 (in euro):</t>
  </si>
  <si>
    <t>Eventuale importo aggiuntivo 2009 ai sensi dell'art. 15 c. 5 del CCNL 1.4.1999 (quota fissa e/o quota variabile, in euro):</t>
  </si>
  <si>
    <t>Nell'ambito delle procedure per le progressioni orizzontali dell'anno, quanti sono stati i dipendenti che vi hanno concorso?</t>
  </si>
  <si>
    <t>Progressioni orizzontali nell'anno di rilevazione</t>
  </si>
  <si>
    <t xml:space="preserve">(le percentuali vanno calcolate con riferimento al totale dei dipendenti </t>
  </si>
  <si>
    <t>dell' Area / Categoria / Fascia al 31/12 dell'anno precedente)</t>
  </si>
  <si>
    <t>Percentuale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</si>
  <si>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</si>
  <si>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</si>
  <si>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</si>
  <si>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Numero dipendenti con retribuzione di produttività Fondo 2009 inferiore o uguale al 60% del massimo attribuito</t>
  </si>
  <si>
    <t>Indicare il numero di posizioni coperte al 31.12 per ciascuna fascia ed il corrispondente valore unitario della retribuzione di posizione:</t>
  </si>
  <si>
    <t>Le retribuzioni di risultato sono correlate alla valutazione della prestazione dei dirigenti?</t>
  </si>
  <si>
    <t>Sono utilizzati indicatori di risultato attinenti all'Ufficio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</si>
  <si>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</si>
  <si>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</si>
  <si>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L'affidamento delle nuove posizioni organizzative dell'anno è avvenuta con la scelta del dirigente sulla base di incarichi predeterminati?</t>
  </si>
  <si>
    <t>E' stata preventivamente verificata la sussistenza del requisito di cui all'art. 9, comma 1 del CCNL 11/04/2008 ai fini delle progressioni orizzontali secondo la disciplina dell'art. 5 del CCNL del 31/03/1999?</t>
  </si>
  <si>
    <t>Nell'ente era presente al 31/12 un Direttore generale?</t>
  </si>
  <si>
    <t>Nel caso di servizi esternalizzati, è stato stilato il piano di razionalizzazione dei costi previsto dall’art. 3, c. 30, 31 e 32, della l.f. 2008, o di analoghe disposiz. delle Reg. e Prov. Autonome?</t>
  </si>
  <si>
    <t>d.lgs 267/2000 art. 108 comma 1</t>
  </si>
  <si>
    <t>d.lgs 267/2000 art. 108 comma 3</t>
  </si>
  <si>
    <t>d.lgs 267/2000 art. 108 comma 4</t>
  </si>
  <si>
    <t>c) Economico</t>
  </si>
  <si>
    <t>b) Giuridico-amministrativo</t>
  </si>
  <si>
    <t>Ai sensi dell'art. 72 comma 1 della l. 133/2008 o di analoghe leggi regionali, ivi comprese quelle ad ordinamento speciale, quante persone al 01.03.2010 hanno richiesto l'esonero dal servizio?</t>
  </si>
  <si>
    <t>Esoneri 50% (OUT) (Tab 3)</t>
  </si>
  <si>
    <t>Esoneri 70% (OUT) (Tab 3)</t>
  </si>
  <si>
    <t>j=(a+b+c+d-e-f-g-h-i)</t>
  </si>
  <si>
    <t>k</t>
  </si>
  <si>
    <t>j=k</t>
  </si>
  <si>
    <t>s</t>
  </si>
  <si>
    <t>u=(l+m+n+o-p-q-r-s-t)</t>
  </si>
  <si>
    <t>v</t>
  </si>
  <si>
    <t>u=v</t>
  </si>
  <si>
    <t>Costituzione fondi per la contrattazione integrativa (*)</t>
  </si>
  <si>
    <t>Destinazione fondi per la contrattazione integrativa (*)</t>
  </si>
  <si>
    <t>RETRIBUZIONE DI POSIZIONE</t>
  </si>
  <si>
    <t>RETRIBUZIONE DI RISULTATO</t>
  </si>
  <si>
    <t>unità per il calcolo delle assenze (*)</t>
  </si>
  <si>
    <t>Presenti per titolo di studio 
(Tab 9)</t>
  </si>
  <si>
    <t>Incarichi libero professionale, studio, ricerca e consulenza</t>
  </si>
  <si>
    <t>Contratti per resa servizi/adempimenti obbligatori per legge</t>
  </si>
  <si>
    <t>Numero dipendenti con retribuzione di produttività Fondo 2009 compresa fra 60% e 90% del massimo attribuito</t>
  </si>
  <si>
    <t>Numero dirigenti con retribuzione di risultato Fondo 2009 compresa fra 60% e 90% del massimo attribuito</t>
  </si>
  <si>
    <t>Eventuale importo aggiuntivo 2009 ai sensi dell'art. 26 c. 3  Ccnl 23.12.99 (quota fissa e/o quota variabile, in euro):</t>
  </si>
  <si>
    <t>Numero dipendenti con retribuzione di produttività Fondo 2009 superiore o uguale al 90% del massimo attribuito</t>
  </si>
  <si>
    <t>Numero dirigenti con retribuzione di risultato Fondo 2009 superiore o uguale al 90% del massimo attribuito</t>
  </si>
  <si>
    <t>Solo per chi ha risposto NO alla domanda n. 21</t>
  </si>
  <si>
    <t>Personale soggetto a turnazione (**) Personale indicato in T1</t>
  </si>
  <si>
    <t>Personale soggetto a reperibilità (**) Personale indicato in T1</t>
  </si>
  <si>
    <t>PROGR. ORIZZ. (ART. 17 C.2 L. B CCNL 1.4.99) - DELL'ANNO</t>
  </si>
  <si>
    <t xml:space="preserve">Malta </t>
  </si>
  <si>
    <t>106</t>
  </si>
  <si>
    <t>96100</t>
  </si>
  <si>
    <t>Siracusa</t>
  </si>
  <si>
    <t>0931  709111</t>
  </si>
  <si>
    <t>0931  709239</t>
  </si>
  <si>
    <t>80001670894</t>
  </si>
  <si>
    <t>Abbruzzo</t>
  </si>
  <si>
    <t>Alessandro</t>
  </si>
  <si>
    <t>Gionfriddo</t>
  </si>
  <si>
    <t>Antonio</t>
  </si>
  <si>
    <t>Franzò</t>
  </si>
  <si>
    <t>Carmelo</t>
  </si>
  <si>
    <t>Castrogiovanni</t>
  </si>
  <si>
    <t>Giuseppe</t>
  </si>
  <si>
    <t>0931 709355</t>
  </si>
  <si>
    <t>a.gionfriddo@tin.it</t>
  </si>
  <si>
    <t>aleab2003@libero.it</t>
  </si>
  <si>
    <t>pucciocastrogiovanni@provincia.siracusa.it</t>
  </si>
  <si>
    <t>nessuno</t>
  </si>
  <si>
    <t>urp@provincia.siracusa.it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</si>
</sst>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  <numFmt numFmtId="209" formatCode="#,##0.000;[Red]\-#,##0.000"/>
  </numFmts>
  <fonts count="12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6"/>
      <name val="Helv"/>
      <family val="0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b/>
      <i/>
      <sz val="12"/>
      <name val="Helv"/>
      <family val="0"/>
    </font>
    <font>
      <sz val="14"/>
      <name val="Helv"/>
      <family val="0"/>
    </font>
    <font>
      <sz val="12"/>
      <name val="Helv"/>
      <family val="0"/>
    </font>
    <font>
      <sz val="6"/>
      <name val="Arial"/>
      <family val="2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b/>
      <sz val="10"/>
      <name val="Times New Roman"/>
      <family val="1"/>
    </font>
    <font>
      <sz val="8"/>
      <name val="Tahoma"/>
      <family val="2"/>
    </font>
    <font>
      <sz val="12"/>
      <name val="Courier"/>
      <family val="3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16"/>
      <name val="Arial"/>
      <family val="2"/>
    </font>
    <font>
      <sz val="8.5"/>
      <name val="MS Serif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sz val="7"/>
      <name val="Small Fonts"/>
      <family val="2"/>
    </font>
    <font>
      <sz val="7"/>
      <color indexed="30"/>
      <name val="Arial"/>
      <family val="2"/>
    </font>
    <font>
      <sz val="8"/>
      <color indexed="30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rgb="FFFF0000"/>
      <name val="Courier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thick"/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double"/>
      <top style="thick"/>
      <bottom style="thin"/>
    </border>
    <border>
      <left>
        <color indexed="63"/>
      </left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5" borderId="0" applyNumberFormat="0" applyBorder="0" applyAlignment="0" applyProtection="0"/>
    <xf numFmtId="0" fontId="80" fillId="8" borderId="0" applyNumberFormat="0" applyBorder="0" applyAlignment="0" applyProtection="0"/>
    <xf numFmtId="0" fontId="80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2" fillId="16" borderId="1" applyNumberFormat="0" applyAlignment="0" applyProtection="0"/>
    <xf numFmtId="0" fontId="83" fillId="0" borderId="2" applyNumberFormat="0" applyFill="0" applyAlignment="0" applyProtection="0"/>
    <xf numFmtId="0" fontId="8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21" borderId="0" applyNumberFormat="0" applyBorder="0" applyAlignment="0" applyProtection="0"/>
    <xf numFmtId="197" fontId="0" fillId="0" borderId="0" applyFont="0" applyFill="0" applyBorder="0" applyAlignment="0" applyProtection="0"/>
    <xf numFmtId="0" fontId="85" fillId="7" borderId="1" applyNumberFormat="0" applyAlignment="0" applyProtection="0"/>
    <xf numFmtId="40" fontId="4" fillId="0" borderId="0" applyFont="0" applyFill="0" applyBorder="0" applyAlignment="0" applyProtection="0"/>
    <xf numFmtId="41" fontId="58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173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0" fillId="23" borderId="4" applyNumberFormat="0" applyFont="0" applyAlignment="0" applyProtection="0"/>
    <xf numFmtId="0" fontId="87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3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3" borderId="0" applyNumberFormat="0" applyBorder="0" applyAlignment="0" applyProtection="0"/>
    <xf numFmtId="0" fontId="96" fillId="4" borderId="0" applyNumberFormat="0" applyBorder="0" applyAlignment="0" applyProtection="0"/>
    <xf numFmtId="172" fontId="4" fillId="0" borderId="0" applyFont="0" applyFill="0" applyBorder="0" applyAlignment="0" applyProtection="0"/>
    <xf numFmtId="194" fontId="58" fillId="0" borderId="0" applyFont="0" applyFill="0" applyBorder="0" applyAlignment="0" applyProtection="0"/>
    <xf numFmtId="172" fontId="4" fillId="0" borderId="0" applyFont="0" applyFill="0" applyBorder="0" applyAlignment="0" applyProtection="0"/>
  </cellStyleXfs>
  <cellXfs count="1536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Continuous" vertical="center"/>
      <protection/>
    </xf>
    <xf numFmtId="0" fontId="9" fillId="0" borderId="16" xfId="0" applyFont="1" applyFill="1" applyBorder="1" applyAlignment="1" applyProtection="1">
      <alignment horizontal="right" vertical="center"/>
      <protection/>
    </xf>
    <xf numFmtId="0" fontId="15" fillId="0" borderId="17" xfId="0" applyFont="1" applyFill="1" applyBorder="1" applyAlignment="1">
      <alignment horizontal="center"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19" xfId="0" applyFont="1" applyFill="1" applyBorder="1" applyAlignment="1" applyProtection="1">
      <alignment horizontal="centerContinuous" vertical="center"/>
      <protection/>
    </xf>
    <xf numFmtId="0" fontId="9" fillId="0" borderId="20" xfId="0" applyFont="1" applyFill="1" applyBorder="1" applyAlignment="1">
      <alignment horizontal="centerContinuous" vertical="center"/>
    </xf>
    <xf numFmtId="0" fontId="9" fillId="0" borderId="19" xfId="0" applyFont="1" applyFill="1" applyBorder="1" applyAlignment="1" applyProtection="1">
      <alignment horizontal="centerContinuous" vertical="center" wrapText="1"/>
      <protection/>
    </xf>
    <xf numFmtId="0" fontId="6" fillId="0" borderId="21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5" fillId="0" borderId="0" xfId="66" applyFont="1" applyBorder="1" applyAlignment="1" applyProtection="1">
      <alignment horizontal="left" vertical="top"/>
      <protection/>
    </xf>
    <xf numFmtId="0" fontId="6" fillId="0" borderId="0" xfId="66" applyFont="1" applyBorder="1" applyAlignment="1">
      <alignment horizontal="center"/>
      <protection/>
    </xf>
    <xf numFmtId="0" fontId="6" fillId="0" borderId="0" xfId="66" applyFont="1" applyBorder="1">
      <alignment/>
      <protection/>
    </xf>
    <xf numFmtId="0" fontId="6" fillId="0" borderId="0" xfId="66" applyFont="1">
      <alignment/>
      <protection/>
    </xf>
    <xf numFmtId="0" fontId="14" fillId="0" borderId="23" xfId="66" applyFont="1" applyFill="1" applyBorder="1" applyAlignment="1" applyProtection="1">
      <alignment horizontal="center" vertical="center"/>
      <protection/>
    </xf>
    <xf numFmtId="0" fontId="9" fillId="0" borderId="24" xfId="66" applyFont="1" applyFill="1" applyBorder="1" applyAlignment="1" applyProtection="1">
      <alignment horizontal="center" vertical="center"/>
      <protection/>
    </xf>
    <xf numFmtId="0" fontId="9" fillId="0" borderId="25" xfId="66" applyFont="1" applyFill="1" applyBorder="1" applyAlignment="1" applyProtection="1">
      <alignment horizontal="right" vertical="center"/>
      <protection/>
    </xf>
    <xf numFmtId="0" fontId="6" fillId="0" borderId="0" xfId="66" applyFont="1" applyAlignment="1">
      <alignment horizontal="center"/>
      <protection/>
    </xf>
    <xf numFmtId="0" fontId="17" fillId="0" borderId="0" xfId="65">
      <alignment/>
      <protection/>
    </xf>
    <xf numFmtId="0" fontId="18" fillId="0" borderId="26" xfId="65" applyFont="1" applyFill="1" applyBorder="1" applyAlignment="1">
      <alignment horizontal="centerContinuous" vertical="center" wrapText="1"/>
      <protection/>
    </xf>
    <xf numFmtId="0" fontId="6" fillId="0" borderId="27" xfId="65" applyFont="1" applyFill="1" applyBorder="1" applyAlignment="1">
      <alignment horizontal="centerContinuous" vertical="center" wrapText="1"/>
      <protection/>
    </xf>
    <xf numFmtId="0" fontId="9" fillId="0" borderId="28" xfId="65" applyFont="1" applyFill="1" applyBorder="1" applyAlignment="1" applyProtection="1">
      <alignment horizontal="center" vertical="center"/>
      <protection/>
    </xf>
    <xf numFmtId="0" fontId="9" fillId="0" borderId="29" xfId="65" applyFont="1" applyFill="1" applyBorder="1" applyAlignment="1" applyProtection="1">
      <alignment horizontal="center" vertical="center"/>
      <protection/>
    </xf>
    <xf numFmtId="0" fontId="19" fillId="0" borderId="30" xfId="65" applyFont="1" applyFill="1" applyBorder="1" applyAlignment="1" applyProtection="1">
      <alignment horizontal="centerContinuous" vertical="center" wrapText="1"/>
      <protection/>
    </xf>
    <xf numFmtId="0" fontId="19" fillId="0" borderId="0" xfId="65" applyFont="1" applyFill="1" applyBorder="1" applyAlignment="1" applyProtection="1">
      <alignment horizontal="centerContinuous" vertical="center" wrapText="1"/>
      <protection/>
    </xf>
    <xf numFmtId="0" fontId="19" fillId="0" borderId="31" xfId="65" applyFont="1" applyFill="1" applyBorder="1" applyAlignment="1" applyProtection="1">
      <alignment horizontal="center" vertical="center" wrapText="1"/>
      <protection/>
    </xf>
    <xf numFmtId="0" fontId="19" fillId="0" borderId="31" xfId="65" applyFont="1" applyFill="1" applyBorder="1" applyAlignment="1" applyProtection="1">
      <alignment horizontal="centerContinuous" vertical="center" wrapText="1"/>
      <protection/>
    </xf>
    <xf numFmtId="0" fontId="9" fillId="0" borderId="25" xfId="65" applyFont="1" applyFill="1" applyBorder="1" applyAlignment="1" applyProtection="1">
      <alignment horizontal="right" vertical="center"/>
      <protection/>
    </xf>
    <xf numFmtId="0" fontId="6" fillId="0" borderId="32" xfId="65" applyFont="1" applyFill="1" applyBorder="1" applyAlignment="1" applyProtection="1">
      <alignment horizontal="center"/>
      <protection/>
    </xf>
    <xf numFmtId="0" fontId="6" fillId="0" borderId="0" xfId="64" applyFont="1">
      <alignment/>
      <protection/>
    </xf>
    <xf numFmtId="0" fontId="7" fillId="0" borderId="0" xfId="64" applyFont="1">
      <alignment/>
      <protection/>
    </xf>
    <xf numFmtId="0" fontId="6" fillId="0" borderId="0" xfId="64" applyFont="1" applyAlignment="1">
      <alignment horizontal="center"/>
      <protection/>
    </xf>
    <xf numFmtId="0" fontId="6" fillId="0" borderId="10" xfId="64" applyFont="1" applyFill="1" applyBorder="1" applyAlignment="1">
      <alignment horizontal="centerContinuous"/>
      <protection/>
    </xf>
    <xf numFmtId="0" fontId="6" fillId="0" borderId="11" xfId="64" applyFont="1" applyFill="1" applyBorder="1" applyAlignment="1">
      <alignment horizontal="center"/>
      <protection/>
    </xf>
    <xf numFmtId="0" fontId="9" fillId="0" borderId="12" xfId="64" applyFont="1" applyFill="1" applyBorder="1" applyAlignment="1">
      <alignment horizontal="centerContinuous" vertical="center"/>
      <protection/>
    </xf>
    <xf numFmtId="0" fontId="6" fillId="0" borderId="12" xfId="64" applyFont="1" applyFill="1" applyBorder="1" applyAlignment="1">
      <alignment horizontal="centerContinuous" vertical="center"/>
      <protection/>
    </xf>
    <xf numFmtId="0" fontId="6" fillId="0" borderId="33" xfId="64" applyFont="1" applyFill="1" applyBorder="1" applyAlignment="1">
      <alignment horizontal="centerContinuous" vertical="center"/>
      <protection/>
    </xf>
    <xf numFmtId="0" fontId="9" fillId="0" borderId="24" xfId="64" applyFont="1" applyFill="1" applyBorder="1" applyAlignment="1" applyProtection="1">
      <alignment horizontal="center" vertical="center"/>
      <protection/>
    </xf>
    <xf numFmtId="0" fontId="6" fillId="0" borderId="28" xfId="64" applyFont="1" applyFill="1" applyBorder="1" applyAlignment="1">
      <alignment horizontal="centerContinuous"/>
      <protection/>
    </xf>
    <xf numFmtId="0" fontId="6" fillId="0" borderId="17" xfId="64" applyFont="1" applyFill="1" applyBorder="1" applyAlignment="1">
      <alignment horizontal="center"/>
      <protection/>
    </xf>
    <xf numFmtId="0" fontId="20" fillId="0" borderId="34" xfId="64" applyFont="1" applyFill="1" applyBorder="1" applyAlignment="1" applyProtection="1">
      <alignment horizontal="center"/>
      <protection/>
    </xf>
    <xf numFmtId="0" fontId="20" fillId="0" borderId="35" xfId="64" applyFont="1" applyFill="1" applyBorder="1" applyAlignment="1" applyProtection="1">
      <alignment horizontal="center"/>
      <protection/>
    </xf>
    <xf numFmtId="0" fontId="20" fillId="0" borderId="36" xfId="64" applyFont="1" applyFill="1" applyBorder="1" applyAlignment="1" applyProtection="1">
      <alignment horizontal="center"/>
      <protection/>
    </xf>
    <xf numFmtId="0" fontId="9" fillId="0" borderId="25" xfId="64" applyFont="1" applyFill="1" applyBorder="1" applyAlignment="1" applyProtection="1">
      <alignment horizontal="right" vertical="center"/>
      <protection/>
    </xf>
    <xf numFmtId="0" fontId="6" fillId="0" borderId="32" xfId="64" applyFont="1" applyFill="1" applyBorder="1" applyAlignment="1" applyProtection="1">
      <alignment horizontal="center"/>
      <protection/>
    </xf>
    <xf numFmtId="0" fontId="6" fillId="0" borderId="0" xfId="63" applyFont="1">
      <alignment/>
      <protection/>
    </xf>
    <xf numFmtId="0" fontId="7" fillId="0" borderId="0" xfId="63" applyFont="1">
      <alignment/>
      <protection/>
    </xf>
    <xf numFmtId="0" fontId="6" fillId="0" borderId="0" xfId="63" applyFont="1" applyAlignment="1">
      <alignment horizontal="center"/>
      <protection/>
    </xf>
    <xf numFmtId="0" fontId="6" fillId="0" borderId="10" xfId="63" applyFont="1" applyFill="1" applyBorder="1" applyAlignment="1">
      <alignment horizontal="centerContinuous"/>
      <protection/>
    </xf>
    <xf numFmtId="0" fontId="6" fillId="0" borderId="11" xfId="63" applyFont="1" applyFill="1" applyBorder="1" applyAlignment="1">
      <alignment horizontal="center"/>
      <protection/>
    </xf>
    <xf numFmtId="0" fontId="9" fillId="0" borderId="12" xfId="63" applyFont="1" applyFill="1" applyBorder="1" applyAlignment="1">
      <alignment horizontal="centerContinuous" vertical="center"/>
      <protection/>
    </xf>
    <xf numFmtId="0" fontId="6" fillId="0" borderId="12" xfId="63" applyFont="1" applyFill="1" applyBorder="1" applyAlignment="1">
      <alignment horizontal="centerContinuous" vertical="center"/>
      <protection/>
    </xf>
    <xf numFmtId="0" fontId="6" fillId="0" borderId="33" xfId="63" applyFont="1" applyFill="1" applyBorder="1" applyAlignment="1">
      <alignment horizontal="centerContinuous" vertical="center"/>
      <protection/>
    </xf>
    <xf numFmtId="0" fontId="9" fillId="0" borderId="24" xfId="63" applyFont="1" applyFill="1" applyBorder="1" applyAlignment="1" applyProtection="1">
      <alignment horizontal="center" vertical="center"/>
      <protection/>
    </xf>
    <xf numFmtId="0" fontId="9" fillId="0" borderId="18" xfId="63" applyFont="1" applyFill="1" applyBorder="1" applyAlignment="1" applyProtection="1">
      <alignment horizontal="centerContinuous" vertical="center"/>
      <protection/>
    </xf>
    <xf numFmtId="0" fontId="6" fillId="0" borderId="28" xfId="63" applyFont="1" applyFill="1" applyBorder="1" applyAlignment="1">
      <alignment horizontal="centerContinuous"/>
      <protection/>
    </xf>
    <xf numFmtId="0" fontId="6" fillId="0" borderId="17" xfId="63" applyFont="1" applyFill="1" applyBorder="1" applyAlignment="1">
      <alignment horizontal="center"/>
      <protection/>
    </xf>
    <xf numFmtId="0" fontId="20" fillId="0" borderId="34" xfId="63" applyFont="1" applyFill="1" applyBorder="1" applyAlignment="1" applyProtection="1">
      <alignment horizontal="center"/>
      <protection/>
    </xf>
    <xf numFmtId="0" fontId="20" fillId="0" borderId="35" xfId="63" applyFont="1" applyFill="1" applyBorder="1" applyAlignment="1" applyProtection="1">
      <alignment horizontal="center"/>
      <protection/>
    </xf>
    <xf numFmtId="0" fontId="20" fillId="0" borderId="36" xfId="63" applyFont="1" applyFill="1" applyBorder="1" applyAlignment="1" applyProtection="1">
      <alignment horizontal="center"/>
      <protection/>
    </xf>
    <xf numFmtId="0" fontId="9" fillId="0" borderId="25" xfId="63" applyFont="1" applyFill="1" applyBorder="1" applyAlignment="1" applyProtection="1">
      <alignment horizontal="right" vertical="center"/>
      <protection/>
    </xf>
    <xf numFmtId="0" fontId="6" fillId="0" borderId="32" xfId="63" applyFont="1" applyFill="1" applyBorder="1" applyAlignment="1" applyProtection="1">
      <alignment horizontal="center"/>
      <protection/>
    </xf>
    <xf numFmtId="0" fontId="5" fillId="0" borderId="0" xfId="62" applyFont="1" applyBorder="1" applyAlignment="1" applyProtection="1">
      <alignment horizontal="left" vertical="top"/>
      <protection/>
    </xf>
    <xf numFmtId="0" fontId="6" fillId="0" borderId="0" xfId="62" applyFont="1" applyBorder="1" applyAlignment="1">
      <alignment horizontal="center"/>
      <protection/>
    </xf>
    <xf numFmtId="0" fontId="6" fillId="0" borderId="0" xfId="62" applyFont="1" applyBorder="1">
      <alignment/>
      <protection/>
    </xf>
    <xf numFmtId="0" fontId="6" fillId="0" borderId="0" xfId="62" applyFont="1" applyBorder="1" applyAlignment="1" applyProtection="1">
      <alignment horizontal="left"/>
      <protection/>
    </xf>
    <xf numFmtId="0" fontId="6" fillId="0" borderId="0" xfId="62" applyFont="1">
      <alignment/>
      <protection/>
    </xf>
    <xf numFmtId="0" fontId="6" fillId="0" borderId="10" xfId="62" applyFont="1" applyFill="1" applyBorder="1" applyAlignment="1">
      <alignment horizontal="centerContinuous"/>
      <protection/>
    </xf>
    <xf numFmtId="0" fontId="6" fillId="0" borderId="11" xfId="62" applyFont="1" applyFill="1" applyBorder="1" applyAlignment="1">
      <alignment horizontal="center"/>
      <protection/>
    </xf>
    <xf numFmtId="0" fontId="9" fillId="0" borderId="12" xfId="62" applyFont="1" applyFill="1" applyBorder="1" applyAlignment="1">
      <alignment horizontal="centerContinuous" vertical="center"/>
      <protection/>
    </xf>
    <xf numFmtId="0" fontId="6" fillId="0" borderId="12" xfId="62" applyFont="1" applyFill="1" applyBorder="1" applyAlignment="1">
      <alignment horizontal="centerContinuous" vertical="center"/>
      <protection/>
    </xf>
    <xf numFmtId="0" fontId="6" fillId="0" borderId="33" xfId="62" applyFont="1" applyFill="1" applyBorder="1" applyAlignment="1">
      <alignment horizontal="centerContinuous" vertical="center"/>
      <protection/>
    </xf>
    <xf numFmtId="0" fontId="9" fillId="0" borderId="24" xfId="62" applyFont="1" applyFill="1" applyBorder="1" applyAlignment="1" applyProtection="1">
      <alignment horizontal="center" vertical="center"/>
      <protection/>
    </xf>
    <xf numFmtId="0" fontId="6" fillId="0" borderId="28" xfId="62" applyFont="1" applyFill="1" applyBorder="1" applyAlignment="1">
      <alignment horizontal="centerContinuous"/>
      <protection/>
    </xf>
    <xf numFmtId="0" fontId="6" fillId="0" borderId="17" xfId="62" applyFont="1" applyFill="1" applyBorder="1" applyAlignment="1">
      <alignment horizontal="center"/>
      <protection/>
    </xf>
    <xf numFmtId="0" fontId="9" fillId="0" borderId="25" xfId="62" applyFont="1" applyFill="1" applyBorder="1" applyAlignment="1" applyProtection="1">
      <alignment horizontal="right" vertical="center"/>
      <protection/>
    </xf>
    <xf numFmtId="0" fontId="6" fillId="0" borderId="32" xfId="62" applyFont="1" applyFill="1" applyBorder="1" applyAlignment="1" applyProtection="1">
      <alignment horizontal="center"/>
      <protection/>
    </xf>
    <xf numFmtId="0" fontId="6" fillId="0" borderId="0" xfId="62" applyFont="1" applyAlignment="1">
      <alignment horizontal="center"/>
      <protection/>
    </xf>
    <xf numFmtId="0" fontId="6" fillId="0" borderId="0" xfId="61" applyFont="1">
      <alignment/>
      <protection/>
    </xf>
    <xf numFmtId="0" fontId="6" fillId="0" borderId="10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33" xfId="61" applyFont="1" applyFill="1" applyBorder="1" applyAlignment="1">
      <alignment horizontal="centerContinuous" vertical="center"/>
      <protection/>
    </xf>
    <xf numFmtId="0" fontId="9" fillId="0" borderId="24" xfId="61" applyFont="1" applyFill="1" applyBorder="1" applyAlignment="1" applyProtection="1">
      <alignment horizontal="center" vertical="center"/>
      <protection/>
    </xf>
    <xf numFmtId="0" fontId="6" fillId="0" borderId="28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"/>
      <protection/>
    </xf>
    <xf numFmtId="0" fontId="9" fillId="0" borderId="25" xfId="61" applyFont="1" applyFill="1" applyBorder="1" applyAlignment="1" applyProtection="1">
      <alignment horizontal="right" vertical="center"/>
      <protection/>
    </xf>
    <xf numFmtId="0" fontId="6" fillId="0" borderId="32" xfId="61" applyFont="1" applyFill="1" applyBorder="1" applyAlignment="1" applyProtection="1">
      <alignment horizontal="center"/>
      <protection/>
    </xf>
    <xf numFmtId="0" fontId="6" fillId="0" borderId="0" xfId="61" applyFont="1" applyAlignment="1">
      <alignment horizontal="center"/>
      <protection/>
    </xf>
    <xf numFmtId="0" fontId="6" fillId="0" borderId="15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25" fillId="0" borderId="23" xfId="0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40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42" xfId="0" applyFont="1" applyFill="1" applyBorder="1" applyAlignment="1" applyProtection="1">
      <alignment horizontal="justify" wrapText="1"/>
      <protection/>
    </xf>
    <xf numFmtId="0" fontId="6" fillId="0" borderId="43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41" xfId="0" applyFont="1" applyFill="1" applyBorder="1" applyAlignment="1" applyProtection="1">
      <alignment horizontal="left"/>
      <protection/>
    </xf>
    <xf numFmtId="0" fontId="6" fillId="0" borderId="41" xfId="0" applyFont="1" applyFill="1" applyBorder="1" applyAlignment="1" applyProtection="1">
      <alignment horizontal="justify" wrapText="1"/>
      <protection/>
    </xf>
    <xf numFmtId="0" fontId="6" fillId="0" borderId="41" xfId="0" applyFont="1" applyFill="1" applyBorder="1" applyAlignment="1" applyProtection="1">
      <alignment wrapText="1"/>
      <protection/>
    </xf>
    <xf numFmtId="0" fontId="9" fillId="0" borderId="44" xfId="0" applyFont="1" applyFill="1" applyBorder="1" applyAlignment="1">
      <alignment horizontal="centerContinuous" vertical="center" wrapText="1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Continuous" vertical="center" wrapText="1"/>
      <protection/>
    </xf>
    <xf numFmtId="0" fontId="6" fillId="0" borderId="45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33" xfId="0" applyFont="1" applyFill="1" applyBorder="1" applyAlignment="1" applyProtection="1">
      <alignment horizontal="centerContinuous" vertical="center"/>
      <protection/>
    </xf>
    <xf numFmtId="0" fontId="9" fillId="0" borderId="46" xfId="0" applyFont="1" applyFill="1" applyBorder="1" applyAlignment="1" applyProtection="1">
      <alignment horizontal="centerContinuous" vertical="center" wrapText="1"/>
      <protection/>
    </xf>
    <xf numFmtId="0" fontId="9" fillId="0" borderId="39" xfId="0" applyFont="1" applyFill="1" applyBorder="1" applyAlignment="1" applyProtection="1">
      <alignment horizontal="centerContinuous" vertical="center" wrapText="1"/>
      <protection/>
    </xf>
    <xf numFmtId="0" fontId="9" fillId="0" borderId="18" xfId="0" applyFont="1" applyFill="1" applyBorder="1" applyAlignment="1" applyProtection="1">
      <alignment horizontal="centerContinuous" vertical="center" wrapText="1"/>
      <protection/>
    </xf>
    <xf numFmtId="0" fontId="9" fillId="0" borderId="47" xfId="0" applyFont="1" applyFill="1" applyBorder="1" applyAlignment="1" applyProtection="1">
      <alignment horizontal="centerContinuous" vertical="center" wrapText="1"/>
      <protection/>
    </xf>
    <xf numFmtId="0" fontId="9" fillId="0" borderId="39" xfId="0" applyFont="1" applyFill="1" applyBorder="1" applyAlignment="1">
      <alignment horizontal="centerContinuous" vertical="center" wrapText="1"/>
    </xf>
    <xf numFmtId="0" fontId="9" fillId="0" borderId="47" xfId="0" applyFont="1" applyFill="1" applyBorder="1" applyAlignment="1">
      <alignment horizontal="centerContinuous" vertical="center" wrapText="1"/>
    </xf>
    <xf numFmtId="0" fontId="9" fillId="0" borderId="45" xfId="0" applyFont="1" applyFill="1" applyBorder="1" applyAlignment="1" applyProtection="1">
      <alignment horizontal="centerContinuous" vertical="center" wrapText="1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15" fillId="0" borderId="48" xfId="0" applyFont="1" applyFill="1" applyBorder="1" applyAlignment="1" applyProtection="1">
      <alignment horizontal="center"/>
      <protection/>
    </xf>
    <xf numFmtId="0" fontId="9" fillId="0" borderId="47" xfId="63" applyFont="1" applyFill="1" applyBorder="1" applyAlignment="1">
      <alignment horizontal="centerContinuous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 applyProtection="1">
      <alignment horizontal="justify" wrapText="1"/>
      <protection/>
    </xf>
    <xf numFmtId="0" fontId="19" fillId="24" borderId="49" xfId="0" applyFont="1" applyFill="1" applyBorder="1" applyAlignment="1" applyProtection="1">
      <alignment horizontal="center" vertical="center" wrapText="1"/>
      <protection/>
    </xf>
    <xf numFmtId="0" fontId="9" fillId="25" borderId="50" xfId="61" applyFont="1" applyFill="1" applyBorder="1" applyAlignment="1">
      <alignment horizontal="centerContinuous" vertical="center"/>
      <protection/>
    </xf>
    <xf numFmtId="0" fontId="6" fillId="25" borderId="12" xfId="61" applyFont="1" applyFill="1" applyBorder="1" applyAlignment="1">
      <alignment horizontal="centerContinuous" vertical="center"/>
      <protection/>
    </xf>
    <xf numFmtId="0" fontId="6" fillId="25" borderId="33" xfId="61" applyFont="1" applyFill="1" applyBorder="1" applyAlignment="1">
      <alignment horizontal="centerContinuous" vertical="center"/>
      <protection/>
    </xf>
    <xf numFmtId="0" fontId="21" fillId="25" borderId="51" xfId="61" applyFont="1" applyFill="1" applyBorder="1" applyAlignment="1" applyProtection="1">
      <alignment horizontal="centerContinuous" vertical="center" wrapText="1"/>
      <protection/>
    </xf>
    <xf numFmtId="0" fontId="21" fillId="25" borderId="47" xfId="61" applyFont="1" applyFill="1" applyBorder="1" applyAlignment="1">
      <alignment horizontal="centerContinuous" vertical="center"/>
      <protection/>
    </xf>
    <xf numFmtId="0" fontId="21" fillId="25" borderId="47" xfId="62" applyFont="1" applyFill="1" applyBorder="1" applyAlignment="1">
      <alignment horizontal="centerContinuous" vertical="center"/>
      <protection/>
    </xf>
    <xf numFmtId="0" fontId="21" fillId="25" borderId="18" xfId="62" applyFont="1" applyFill="1" applyBorder="1" applyAlignment="1" applyProtection="1">
      <alignment horizontal="centerContinuous" vertical="center"/>
      <protection/>
    </xf>
    <xf numFmtId="0" fontId="20" fillId="25" borderId="28" xfId="61" applyFont="1" applyFill="1" applyBorder="1" applyAlignment="1" applyProtection="1">
      <alignment horizontal="center"/>
      <protection/>
    </xf>
    <xf numFmtId="0" fontId="20" fillId="25" borderId="36" xfId="61" applyFont="1" applyFill="1" applyBorder="1" applyAlignment="1" applyProtection="1">
      <alignment horizontal="center"/>
      <protection/>
    </xf>
    <xf numFmtId="0" fontId="20" fillId="25" borderId="34" xfId="61" applyFont="1" applyFill="1" applyBorder="1" applyAlignment="1" applyProtection="1">
      <alignment horizontal="center"/>
      <protection/>
    </xf>
    <xf numFmtId="0" fontId="20" fillId="25" borderId="28" xfId="62" applyFont="1" applyFill="1" applyBorder="1" applyAlignment="1" applyProtection="1">
      <alignment horizontal="center"/>
      <protection/>
    </xf>
    <xf numFmtId="0" fontId="20" fillId="25" borderId="36" xfId="62" applyFont="1" applyFill="1" applyBorder="1" applyAlignment="1" applyProtection="1">
      <alignment horizontal="center"/>
      <protection/>
    </xf>
    <xf numFmtId="0" fontId="20" fillId="25" borderId="34" xfId="62" applyFont="1" applyFill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6" fillId="0" borderId="52" xfId="0" applyFont="1" applyFill="1" applyBorder="1" applyAlignment="1" applyProtection="1">
      <alignment horizontal="center"/>
      <protection/>
    </xf>
    <xf numFmtId="0" fontId="6" fillId="0" borderId="53" xfId="0" applyFont="1" applyFill="1" applyBorder="1" applyAlignment="1" applyProtection="1">
      <alignment horizontal="left"/>
      <protection/>
    </xf>
    <xf numFmtId="0" fontId="9" fillId="0" borderId="54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64" applyFont="1" applyFill="1" applyBorder="1" applyAlignment="1" applyProtection="1">
      <alignment horizontal="right" vertical="center"/>
      <protection/>
    </xf>
    <xf numFmtId="0" fontId="6" fillId="0" borderId="0" xfId="64" applyFont="1" applyFill="1" applyBorder="1" applyAlignment="1" applyProtection="1">
      <alignment horizontal="center"/>
      <protection/>
    </xf>
    <xf numFmtId="0" fontId="6" fillId="25" borderId="0" xfId="64" applyFont="1" applyFill="1" applyBorder="1">
      <alignment/>
      <protection/>
    </xf>
    <xf numFmtId="0" fontId="17" fillId="0" borderId="55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 horizontal="center"/>
      <protection/>
    </xf>
    <xf numFmtId="0" fontId="17" fillId="0" borderId="56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7" xfId="0" applyFont="1" applyFill="1" applyBorder="1" applyAlignment="1" applyProtection="1">
      <alignment horizontal="right"/>
      <protection/>
    </xf>
    <xf numFmtId="0" fontId="9" fillId="0" borderId="58" xfId="64" applyFont="1" applyFill="1" applyBorder="1" applyAlignment="1" applyProtection="1">
      <alignment horizontal="center" vertical="center"/>
      <protection/>
    </xf>
    <xf numFmtId="0" fontId="9" fillId="0" borderId="58" xfId="64" applyFont="1" applyFill="1" applyBorder="1" applyAlignment="1" applyProtection="1">
      <alignment vertical="center"/>
      <protection/>
    </xf>
    <xf numFmtId="0" fontId="9" fillId="24" borderId="59" xfId="0" applyFont="1" applyFill="1" applyBorder="1" applyAlignment="1" applyProtection="1">
      <alignment horizontal="right" vertical="center"/>
      <protection/>
    </xf>
    <xf numFmtId="0" fontId="30" fillId="0" borderId="32" xfId="61" applyFont="1" applyFill="1" applyBorder="1" applyAlignment="1" applyProtection="1">
      <alignment horizontal="center"/>
      <protection/>
    </xf>
    <xf numFmtId="0" fontId="30" fillId="0" borderId="0" xfId="0" applyFont="1" applyAlignment="1">
      <alignment horizontal="center"/>
    </xf>
    <xf numFmtId="0" fontId="30" fillId="0" borderId="0" xfId="61" applyFont="1" applyAlignment="1">
      <alignment horizontal="center"/>
      <protection/>
    </xf>
    <xf numFmtId="0" fontId="31" fillId="0" borderId="0" xfId="0" applyFont="1" applyAlignment="1">
      <alignment/>
    </xf>
    <xf numFmtId="0" fontId="15" fillId="0" borderId="24" xfId="0" applyFont="1" applyFill="1" applyBorder="1" applyAlignment="1" applyProtection="1">
      <alignment horizontal="center"/>
      <protection/>
    </xf>
    <xf numFmtId="0" fontId="17" fillId="0" borderId="60" xfId="0" applyFont="1" applyFill="1" applyBorder="1" applyAlignment="1" applyProtection="1">
      <alignment horizontal="center"/>
      <protection/>
    </xf>
    <xf numFmtId="0" fontId="17" fillId="0" borderId="61" xfId="0" applyFont="1" applyFill="1" applyBorder="1" applyAlignment="1" applyProtection="1">
      <alignment horizontal="center"/>
      <protection/>
    </xf>
    <xf numFmtId="0" fontId="17" fillId="0" borderId="62" xfId="0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 horizontal="justify"/>
      <protection/>
    </xf>
    <xf numFmtId="0" fontId="6" fillId="0" borderId="53" xfId="0" applyFont="1" applyFill="1" applyBorder="1" applyAlignment="1" applyProtection="1">
      <alignment horizontal="justify" wrapText="1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25" borderId="37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/>
    </xf>
    <xf numFmtId="0" fontId="14" fillId="0" borderId="55" xfId="0" applyFont="1" applyBorder="1" applyAlignment="1">
      <alignment horizontal="center" wrapText="1"/>
    </xf>
    <xf numFmtId="0" fontId="15" fillId="0" borderId="37" xfId="0" applyFont="1" applyFill="1" applyBorder="1" applyAlignment="1" applyProtection="1">
      <alignment horizontal="center"/>
      <protection/>
    </xf>
    <xf numFmtId="0" fontId="9" fillId="0" borderId="5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6" fillId="0" borderId="65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0" xfId="0" applyFont="1" applyAlignment="1">
      <alignment/>
    </xf>
    <xf numFmtId="0" fontId="14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6" fillId="0" borderId="53" xfId="0" applyFont="1" applyFill="1" applyBorder="1" applyAlignment="1" applyProtection="1">
      <alignment horizontal="left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6" fillId="25" borderId="56" xfId="0" applyFont="1" applyFill="1" applyBorder="1" applyAlignment="1">
      <alignment horizontal="center"/>
    </xf>
    <xf numFmtId="3" fontId="9" fillId="0" borderId="67" xfId="0" applyNumberFormat="1" applyFont="1" applyBorder="1" applyAlignment="1">
      <alignment horizontal="center"/>
    </xf>
    <xf numFmtId="3" fontId="9" fillId="0" borderId="68" xfId="0" applyNumberFormat="1" applyFont="1" applyBorder="1" applyAlignment="1">
      <alignment horizontal="center"/>
    </xf>
    <xf numFmtId="3" fontId="6" fillId="25" borderId="37" xfId="0" applyNumberFormat="1" applyFont="1" applyFill="1" applyBorder="1" applyAlignment="1">
      <alignment horizontal="center"/>
    </xf>
    <xf numFmtId="3" fontId="6" fillId="25" borderId="56" xfId="0" applyNumberFormat="1" applyFont="1" applyFill="1" applyBorder="1" applyAlignment="1">
      <alignment horizontal="center"/>
    </xf>
    <xf numFmtId="0" fontId="9" fillId="0" borderId="63" xfId="0" applyFont="1" applyFill="1" applyBorder="1" applyAlignment="1" applyProtection="1">
      <alignment horizontal="center"/>
      <protection/>
    </xf>
    <xf numFmtId="0" fontId="9" fillId="0" borderId="48" xfId="0" applyFont="1" applyFill="1" applyBorder="1" applyAlignment="1" applyProtection="1">
      <alignment horizontal="center"/>
      <protection/>
    </xf>
    <xf numFmtId="0" fontId="9" fillId="0" borderId="69" xfId="0" applyFont="1" applyFill="1" applyBorder="1" applyAlignment="1" applyProtection="1">
      <alignment horizontal="center"/>
      <protection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0" borderId="71" xfId="0" applyNumberFormat="1" applyFont="1" applyFill="1" applyBorder="1" applyAlignment="1" applyProtection="1">
      <alignment/>
      <protection locked="0"/>
    </xf>
    <xf numFmtId="4" fontId="6" fillId="0" borderId="70" xfId="0" applyNumberFormat="1" applyFont="1" applyFill="1" applyBorder="1" applyAlignment="1" applyProtection="1">
      <alignment/>
      <protection locked="0"/>
    </xf>
    <xf numFmtId="3" fontId="6" fillId="0" borderId="72" xfId="0" applyNumberFormat="1" applyFont="1" applyFill="1" applyBorder="1" applyAlignment="1" applyProtection="1">
      <alignment/>
      <protection locked="0"/>
    </xf>
    <xf numFmtId="3" fontId="6" fillId="0" borderId="73" xfId="0" applyNumberFormat="1" applyFont="1" applyFill="1" applyBorder="1" applyAlignment="1" applyProtection="1">
      <alignment/>
      <protection locked="0"/>
    </xf>
    <xf numFmtId="3" fontId="6" fillId="0" borderId="74" xfId="0" applyNumberFormat="1" applyFont="1" applyFill="1" applyBorder="1" applyAlignment="1" applyProtection="1">
      <alignment/>
      <protection locked="0"/>
    </xf>
    <xf numFmtId="3" fontId="6" fillId="0" borderId="74" xfId="0" applyNumberFormat="1" applyFont="1" applyBorder="1" applyAlignment="1" applyProtection="1">
      <alignment/>
      <protection locked="0"/>
    </xf>
    <xf numFmtId="3" fontId="17" fillId="0" borderId="75" xfId="0" applyNumberFormat="1" applyFont="1" applyFill="1" applyBorder="1" applyAlignment="1" applyProtection="1">
      <alignment/>
      <protection locked="0"/>
    </xf>
    <xf numFmtId="3" fontId="17" fillId="0" borderId="76" xfId="0" applyNumberFormat="1" applyFont="1" applyFill="1" applyBorder="1" applyAlignment="1" applyProtection="1">
      <alignment/>
      <protection locked="0"/>
    </xf>
    <xf numFmtId="3" fontId="17" fillId="0" borderId="77" xfId="0" applyNumberFormat="1" applyFont="1" applyFill="1" applyBorder="1" applyAlignment="1" applyProtection="1">
      <alignment/>
      <protection locked="0"/>
    </xf>
    <xf numFmtId="3" fontId="17" fillId="0" borderId="44" xfId="0" applyNumberFormat="1" applyFont="1" applyFill="1" applyBorder="1" applyAlignment="1" applyProtection="1">
      <alignment/>
      <protection locked="0"/>
    </xf>
    <xf numFmtId="3" fontId="17" fillId="0" borderId="78" xfId="0" applyNumberFormat="1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 horizontal="justify"/>
      <protection/>
    </xf>
    <xf numFmtId="0" fontId="9" fillId="0" borderId="79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Fill="1" applyBorder="1" applyAlignment="1" applyProtection="1">
      <alignment horizontal="center"/>
      <protection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21" xfId="61" applyNumberFormat="1" applyFont="1" applyFill="1" applyBorder="1" applyProtection="1">
      <alignment/>
      <protection locked="0"/>
    </xf>
    <xf numFmtId="3" fontId="6" fillId="0" borderId="85" xfId="61" applyNumberFormat="1" applyFont="1" applyFill="1" applyBorder="1" applyProtection="1">
      <alignment/>
      <protection locked="0"/>
    </xf>
    <xf numFmtId="3" fontId="6" fillId="0" borderId="70" xfId="61" applyNumberFormat="1" applyFont="1" applyFill="1" applyBorder="1" applyProtection="1">
      <alignment/>
      <protection locked="0"/>
    </xf>
    <xf numFmtId="3" fontId="6" fillId="0" borderId="21" xfId="62" applyNumberFormat="1" applyFont="1" applyFill="1" applyBorder="1" applyProtection="1">
      <alignment/>
      <protection locked="0"/>
    </xf>
    <xf numFmtId="3" fontId="6" fillId="0" borderId="85" xfId="62" applyNumberFormat="1" applyFont="1" applyFill="1" applyBorder="1" applyProtection="1">
      <alignment/>
      <protection locked="0"/>
    </xf>
    <xf numFmtId="3" fontId="6" fillId="0" borderId="70" xfId="62" applyNumberFormat="1" applyFont="1" applyFill="1" applyBorder="1" applyProtection="1">
      <alignment/>
      <protection locked="0"/>
    </xf>
    <xf numFmtId="0" fontId="6" fillId="0" borderId="86" xfId="0" applyFont="1" applyFill="1" applyBorder="1" applyAlignment="1" applyProtection="1">
      <alignment horizontal="center"/>
      <protection/>
    </xf>
    <xf numFmtId="3" fontId="6" fillId="0" borderId="52" xfId="61" applyNumberFormat="1" applyFont="1" applyFill="1" applyBorder="1" applyProtection="1">
      <alignment/>
      <protection locked="0"/>
    </xf>
    <xf numFmtId="3" fontId="6" fillId="0" borderId="64" xfId="61" applyNumberFormat="1" applyFont="1" applyFill="1" applyBorder="1" applyProtection="1">
      <alignment/>
      <protection locked="0"/>
    </xf>
    <xf numFmtId="3" fontId="6" fillId="0" borderId="87" xfId="61" applyNumberFormat="1" applyFont="1" applyFill="1" applyBorder="1" applyProtection="1">
      <alignment/>
      <protection locked="0"/>
    </xf>
    <xf numFmtId="3" fontId="6" fillId="0" borderId="88" xfId="61" applyNumberFormat="1" applyFont="1" applyFill="1" applyBorder="1" applyProtection="1">
      <alignment/>
      <protection locked="0"/>
    </xf>
    <xf numFmtId="0" fontId="6" fillId="0" borderId="89" xfId="62" applyFont="1" applyFill="1" applyBorder="1" applyAlignment="1" applyProtection="1">
      <alignment/>
      <protection locked="0"/>
    </xf>
    <xf numFmtId="0" fontId="6" fillId="0" borderId="86" xfId="62" applyFont="1" applyFill="1" applyBorder="1" applyAlignment="1" applyProtection="1">
      <alignment/>
      <protection locked="0"/>
    </xf>
    <xf numFmtId="0" fontId="6" fillId="0" borderId="90" xfId="62" applyFont="1" applyFill="1" applyBorder="1" applyAlignment="1" applyProtection="1">
      <alignment/>
      <protection locked="0"/>
    </xf>
    <xf numFmtId="0" fontId="6" fillId="0" borderId="88" xfId="62" applyFont="1" applyFill="1" applyBorder="1" applyAlignment="1" applyProtection="1">
      <alignment/>
      <protection locked="0"/>
    </xf>
    <xf numFmtId="0" fontId="6" fillId="0" borderId="84" xfId="62" applyFont="1" applyFill="1" applyBorder="1" applyAlignment="1" applyProtection="1">
      <alignment/>
      <protection locked="0"/>
    </xf>
    <xf numFmtId="0" fontId="6" fillId="0" borderId="48" xfId="62" applyFont="1" applyFill="1" applyBorder="1" applyAlignment="1" applyProtection="1">
      <alignment/>
      <protection locked="0"/>
    </xf>
    <xf numFmtId="0" fontId="6" fillId="0" borderId="70" xfId="62" applyFont="1" applyFill="1" applyBorder="1" applyAlignment="1" applyProtection="1">
      <alignment/>
      <protection locked="0"/>
    </xf>
    <xf numFmtId="0" fontId="6" fillId="0" borderId="52" xfId="62" applyFont="1" applyFill="1" applyBorder="1" applyAlignment="1" applyProtection="1">
      <alignment/>
      <protection locked="0"/>
    </xf>
    <xf numFmtId="0" fontId="6" fillId="0" borderId="64" xfId="62" applyFont="1" applyFill="1" applyBorder="1" applyAlignment="1" applyProtection="1">
      <alignment/>
      <protection locked="0"/>
    </xf>
    <xf numFmtId="0" fontId="6" fillId="0" borderId="85" xfId="62" applyFont="1" applyFill="1" applyBorder="1" applyAlignment="1" applyProtection="1">
      <alignment/>
      <protection locked="0"/>
    </xf>
    <xf numFmtId="3" fontId="6" fillId="0" borderId="70" xfId="63" applyNumberFormat="1" applyFont="1" applyFill="1" applyBorder="1" applyProtection="1">
      <alignment/>
      <protection locked="0"/>
    </xf>
    <xf numFmtId="3" fontId="6" fillId="0" borderId="52" xfId="63" applyNumberFormat="1" applyFont="1" applyFill="1" applyBorder="1" applyProtection="1">
      <alignment/>
      <protection locked="0"/>
    </xf>
    <xf numFmtId="3" fontId="6" fillId="0" borderId="85" xfId="63" applyNumberFormat="1" applyFont="1" applyFill="1" applyBorder="1" applyProtection="1">
      <alignment/>
      <protection locked="0"/>
    </xf>
    <xf numFmtId="3" fontId="6" fillId="0" borderId="63" xfId="63" applyNumberFormat="1" applyFont="1" applyFill="1" applyBorder="1" applyProtection="1">
      <alignment/>
      <protection locked="0"/>
    </xf>
    <xf numFmtId="3" fontId="6" fillId="0" borderId="64" xfId="63" applyNumberFormat="1" applyFont="1" applyFill="1" applyBorder="1" applyProtection="1">
      <alignment/>
      <protection locked="0"/>
    </xf>
    <xf numFmtId="3" fontId="6" fillId="0" borderId="20" xfId="63" applyNumberFormat="1" applyFont="1" applyFill="1" applyBorder="1" applyProtection="1">
      <alignment/>
      <protection locked="0"/>
    </xf>
    <xf numFmtId="3" fontId="6" fillId="0" borderId="91" xfId="63" applyNumberFormat="1" applyFont="1" applyFill="1" applyBorder="1" applyProtection="1">
      <alignment/>
      <protection locked="0"/>
    </xf>
    <xf numFmtId="3" fontId="6" fillId="0" borderId="92" xfId="63" applyNumberFormat="1" applyFont="1" applyFill="1" applyBorder="1" applyProtection="1">
      <alignment/>
      <protection locked="0"/>
    </xf>
    <xf numFmtId="3" fontId="6" fillId="0" borderId="84" xfId="63" applyNumberFormat="1" applyFont="1" applyFill="1" applyBorder="1" applyProtection="1">
      <alignment/>
      <protection locked="0"/>
    </xf>
    <xf numFmtId="3" fontId="6" fillId="0" borderId="93" xfId="63" applyNumberFormat="1" applyFont="1" applyFill="1" applyBorder="1" applyProtection="1">
      <alignment/>
      <protection locked="0"/>
    </xf>
    <xf numFmtId="3" fontId="6" fillId="0" borderId="48" xfId="63" applyNumberFormat="1" applyFont="1" applyFill="1" applyBorder="1" applyProtection="1">
      <alignment/>
      <protection locked="0"/>
    </xf>
    <xf numFmtId="3" fontId="6" fillId="0" borderId="65" xfId="63" applyNumberFormat="1" applyFont="1" applyFill="1" applyBorder="1" applyProtection="1">
      <alignment/>
      <protection locked="0"/>
    </xf>
    <xf numFmtId="3" fontId="6" fillId="0" borderId="94" xfId="63" applyNumberFormat="1" applyFont="1" applyFill="1" applyBorder="1" applyProtection="1">
      <alignment/>
      <protection locked="0"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38" fillId="0" borderId="34" xfId="0" applyFont="1" applyFill="1" applyBorder="1" applyAlignment="1">
      <alignment/>
    </xf>
    <xf numFmtId="0" fontId="23" fillId="0" borderId="95" xfId="0" applyFont="1" applyFill="1" applyBorder="1" applyAlignment="1" applyProtection="1">
      <alignment horizontal="center" textRotation="255" wrapText="1"/>
      <protection/>
    </xf>
    <xf numFmtId="0" fontId="23" fillId="0" borderId="96" xfId="0" applyFont="1" applyFill="1" applyBorder="1" applyAlignment="1" applyProtection="1">
      <alignment horizontal="center" textRotation="255" wrapText="1"/>
      <protection/>
    </xf>
    <xf numFmtId="0" fontId="23" fillId="0" borderId="96" xfId="0" applyFont="1" applyFill="1" applyBorder="1" applyAlignment="1" applyProtection="1" quotePrefix="1">
      <alignment horizontal="center" textRotation="255" wrapText="1"/>
      <protection/>
    </xf>
    <xf numFmtId="3" fontId="6" fillId="0" borderId="64" xfId="0" applyNumberFormat="1" applyFont="1" applyBorder="1" applyAlignment="1" applyProtection="1">
      <alignment/>
      <protection locked="0"/>
    </xf>
    <xf numFmtId="3" fontId="6" fillId="0" borderId="64" xfId="0" applyNumberFormat="1" applyFont="1" applyFill="1" applyBorder="1" applyAlignment="1" applyProtection="1">
      <alignment/>
      <protection locked="0"/>
    </xf>
    <xf numFmtId="3" fontId="6" fillId="0" borderId="55" xfId="0" applyNumberFormat="1" applyFont="1" applyFill="1" applyBorder="1" applyAlignment="1" applyProtection="1">
      <alignment/>
      <protection locked="0"/>
    </xf>
    <xf numFmtId="3" fontId="6" fillId="0" borderId="52" xfId="0" applyNumberFormat="1" applyFont="1" applyFill="1" applyBorder="1" applyAlignment="1" applyProtection="1">
      <alignment/>
      <protection locked="0"/>
    </xf>
    <xf numFmtId="3" fontId="6" fillId="0" borderId="88" xfId="0" applyNumberFormat="1" applyFont="1" applyFill="1" applyBorder="1" applyAlignment="1" applyProtection="1">
      <alignment/>
      <protection locked="0"/>
    </xf>
    <xf numFmtId="3" fontId="6" fillId="0" borderId="37" xfId="0" applyNumberFormat="1" applyFont="1" applyFill="1" applyBorder="1" applyAlignment="1" applyProtection="1">
      <alignment/>
      <protection locked="0"/>
    </xf>
    <xf numFmtId="3" fontId="6" fillId="0" borderId="65" xfId="0" applyNumberFormat="1" applyFont="1" applyFill="1" applyBorder="1" applyAlignment="1" applyProtection="1">
      <alignment/>
      <protection locked="0"/>
    </xf>
    <xf numFmtId="3" fontId="6" fillId="0" borderId="84" xfId="0" applyNumberFormat="1" applyFont="1" applyFill="1" applyBorder="1" applyAlignment="1" applyProtection="1">
      <alignment/>
      <protection locked="0"/>
    </xf>
    <xf numFmtId="3" fontId="6" fillId="0" borderId="97" xfId="0" applyNumberFormat="1" applyFont="1" applyFill="1" applyBorder="1" applyAlignment="1" applyProtection="1">
      <alignment/>
      <protection locked="0"/>
    </xf>
    <xf numFmtId="3" fontId="6" fillId="0" borderId="61" xfId="0" applyNumberFormat="1" applyFont="1" applyFill="1" applyBorder="1" applyAlignment="1" applyProtection="1">
      <alignment/>
      <protection locked="0"/>
    </xf>
    <xf numFmtId="3" fontId="6" fillId="0" borderId="70" xfId="64" applyNumberFormat="1" applyFont="1" applyFill="1" applyBorder="1" applyProtection="1">
      <alignment/>
      <protection locked="0"/>
    </xf>
    <xf numFmtId="3" fontId="6" fillId="0" borderId="52" xfId="64" applyNumberFormat="1" applyFont="1" applyFill="1" applyBorder="1" applyProtection="1">
      <alignment/>
      <protection locked="0"/>
    </xf>
    <xf numFmtId="3" fontId="6" fillId="0" borderId="85" xfId="64" applyNumberFormat="1" applyFont="1" applyFill="1" applyBorder="1" applyProtection="1">
      <alignment/>
      <protection locked="0"/>
    </xf>
    <xf numFmtId="3" fontId="6" fillId="0" borderId="63" xfId="64" applyNumberFormat="1" applyFont="1" applyFill="1" applyBorder="1" applyProtection="1">
      <alignment/>
      <protection locked="0"/>
    </xf>
    <xf numFmtId="3" fontId="6" fillId="0" borderId="64" xfId="64" applyNumberFormat="1" applyFont="1" applyFill="1" applyBorder="1" applyProtection="1">
      <alignment/>
      <protection locked="0"/>
    </xf>
    <xf numFmtId="3" fontId="6" fillId="0" borderId="86" xfId="64" applyNumberFormat="1" applyFont="1" applyFill="1" applyBorder="1" applyProtection="1">
      <alignment/>
      <protection locked="0"/>
    </xf>
    <xf numFmtId="0" fontId="9" fillId="0" borderId="11" xfId="65" applyFont="1" applyFill="1" applyBorder="1" applyAlignment="1">
      <alignment horizontal="center"/>
      <protection/>
    </xf>
    <xf numFmtId="3" fontId="6" fillId="0" borderId="89" xfId="0" applyNumberFormat="1" applyFont="1" applyBorder="1" applyAlignment="1" applyProtection="1">
      <alignment horizontal="center"/>
      <protection locked="0"/>
    </xf>
    <xf numFmtId="3" fontId="6" fillId="0" borderId="86" xfId="0" applyNumberFormat="1" applyFont="1" applyFill="1" applyBorder="1" applyAlignment="1" applyProtection="1">
      <alignment/>
      <protection locked="0"/>
    </xf>
    <xf numFmtId="3" fontId="6" fillId="0" borderId="72" xfId="0" applyNumberFormat="1" applyFont="1" applyBorder="1" applyAlignment="1" applyProtection="1">
      <alignment horizontal="center"/>
      <protection locked="0"/>
    </xf>
    <xf numFmtId="0" fontId="9" fillId="0" borderId="98" xfId="0" applyFont="1" applyFill="1" applyBorder="1" applyAlignment="1" applyProtection="1">
      <alignment horizontal="centerContinuous" vertical="center"/>
      <protection/>
    </xf>
    <xf numFmtId="0" fontId="9" fillId="0" borderId="31" xfId="0" applyFont="1" applyFill="1" applyBorder="1" applyAlignment="1" applyProtection="1">
      <alignment horizontal="centerContinuous" vertical="center" wrapText="1"/>
      <protection/>
    </xf>
    <xf numFmtId="0" fontId="9" fillId="0" borderId="46" xfId="0" applyFont="1" applyFill="1" applyBorder="1" applyAlignment="1">
      <alignment horizontal="centerContinuous" vertical="center" wrapText="1"/>
    </xf>
    <xf numFmtId="0" fontId="20" fillId="0" borderId="28" xfId="0" applyFont="1" applyFill="1" applyBorder="1" applyAlignment="1" applyProtection="1">
      <alignment horizontal="centerContinuous"/>
      <protection/>
    </xf>
    <xf numFmtId="0" fontId="20" fillId="0" borderId="35" xfId="0" applyFont="1" applyFill="1" applyBorder="1" applyAlignment="1" applyProtection="1">
      <alignment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35" xfId="0" applyFont="1" applyFill="1" applyBorder="1" applyAlignment="1" applyProtection="1">
      <alignment horizontal="center"/>
      <protection/>
    </xf>
    <xf numFmtId="0" fontId="20" fillId="0" borderId="36" xfId="0" applyFont="1" applyFill="1" applyBorder="1" applyAlignment="1" applyProtection="1">
      <alignment horizontal="center"/>
      <protection/>
    </xf>
    <xf numFmtId="0" fontId="20" fillId="0" borderId="99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89" xfId="66" applyNumberFormat="1" applyFont="1" applyFill="1" applyBorder="1" applyProtection="1">
      <alignment/>
      <protection locked="0"/>
    </xf>
    <xf numFmtId="3" fontId="6" fillId="0" borderId="86" xfId="66" applyNumberFormat="1" applyFont="1" applyFill="1" applyBorder="1" applyProtection="1">
      <alignment/>
      <protection locked="0"/>
    </xf>
    <xf numFmtId="3" fontId="6" fillId="0" borderId="88" xfId="66" applyNumberFormat="1" applyFont="1" applyFill="1" applyBorder="1" applyProtection="1">
      <alignment/>
      <protection locked="0"/>
    </xf>
    <xf numFmtId="3" fontId="6" fillId="0" borderId="84" xfId="66" applyNumberFormat="1" applyFont="1" applyFill="1" applyBorder="1" applyProtection="1">
      <alignment/>
      <protection locked="0"/>
    </xf>
    <xf numFmtId="0" fontId="19" fillId="0" borderId="87" xfId="66" applyFont="1" applyFill="1" applyBorder="1" applyAlignment="1" applyProtection="1">
      <alignment horizontal="centerContinuous" vertical="center"/>
      <protection/>
    </xf>
    <xf numFmtId="0" fontId="14" fillId="0" borderId="10" xfId="65" applyFont="1" applyFill="1" applyBorder="1" applyAlignment="1">
      <alignment horizontal="centerContinuous"/>
      <protection/>
    </xf>
    <xf numFmtId="0" fontId="14" fillId="0" borderId="100" xfId="64" applyFont="1" applyFill="1" applyBorder="1" applyAlignment="1" applyProtection="1">
      <alignment horizontal="center" vertical="center"/>
      <protection/>
    </xf>
    <xf numFmtId="0" fontId="14" fillId="0" borderId="100" xfId="63" applyFont="1" applyFill="1" applyBorder="1" applyAlignment="1" applyProtection="1">
      <alignment horizontal="center" vertical="center"/>
      <protection/>
    </xf>
    <xf numFmtId="0" fontId="14" fillId="0" borderId="100" xfId="62" applyFont="1" applyFill="1" applyBorder="1" applyAlignment="1" applyProtection="1">
      <alignment horizontal="center" vertical="center"/>
      <protection/>
    </xf>
    <xf numFmtId="0" fontId="14" fillId="0" borderId="100" xfId="61" applyFont="1" applyFill="1" applyBorder="1" applyAlignment="1" applyProtection="1">
      <alignment horizontal="center" vertical="center"/>
      <protection/>
    </xf>
    <xf numFmtId="0" fontId="14" fillId="0" borderId="24" xfId="61" applyFont="1" applyFill="1" applyBorder="1" applyAlignment="1" applyProtection="1">
      <alignment horizontal="center" vertical="center"/>
      <protection/>
    </xf>
    <xf numFmtId="0" fontId="15" fillId="0" borderId="17" xfId="61" applyFont="1" applyFill="1" applyBorder="1" applyAlignment="1">
      <alignment horizontal="center"/>
      <protection/>
    </xf>
    <xf numFmtId="0" fontId="15" fillId="0" borderId="101" xfId="0" applyFont="1" applyFill="1" applyBorder="1" applyAlignment="1" applyProtection="1">
      <alignment horizontal="center"/>
      <protection/>
    </xf>
    <xf numFmtId="0" fontId="15" fillId="0" borderId="102" xfId="0" applyFont="1" applyFill="1" applyBorder="1" applyAlignment="1" applyProtection="1">
      <alignment horizontal="center"/>
      <protection/>
    </xf>
    <xf numFmtId="0" fontId="20" fillId="0" borderId="28" xfId="66" applyFont="1" applyFill="1" applyBorder="1" applyAlignment="1">
      <alignment horizontal="centerContinuous"/>
      <protection/>
    </xf>
    <xf numFmtId="0" fontId="20" fillId="0" borderId="103" xfId="66" applyFont="1" applyFill="1" applyBorder="1" applyAlignment="1" applyProtection="1">
      <alignment horizontal="center"/>
      <protection/>
    </xf>
    <xf numFmtId="0" fontId="20" fillId="0" borderId="29" xfId="66" applyFont="1" applyFill="1" applyBorder="1" applyAlignment="1" applyProtection="1">
      <alignment horizontal="center"/>
      <protection/>
    </xf>
    <xf numFmtId="0" fontId="20" fillId="0" borderId="0" xfId="66" applyFont="1">
      <alignment/>
      <protection/>
    </xf>
    <xf numFmtId="0" fontId="20" fillId="0" borderId="13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"/>
    </xf>
    <xf numFmtId="0" fontId="28" fillId="0" borderId="34" xfId="0" applyFont="1" applyFill="1" applyBorder="1" applyAlignment="1" applyProtection="1">
      <alignment horizontal="center"/>
      <protection/>
    </xf>
    <xf numFmtId="0" fontId="28" fillId="0" borderId="104" xfId="0" applyFont="1" applyFill="1" applyBorder="1" applyAlignment="1" applyProtection="1">
      <alignment horizontal="center"/>
      <protection/>
    </xf>
    <xf numFmtId="0" fontId="14" fillId="0" borderId="23" xfId="0" applyFont="1" applyFill="1" applyBorder="1" applyAlignment="1">
      <alignment horizontal="centerContinuous"/>
    </xf>
    <xf numFmtId="0" fontId="9" fillId="0" borderId="105" xfId="0" applyFont="1" applyFill="1" applyBorder="1" applyAlignment="1">
      <alignment horizontal="center"/>
    </xf>
    <xf numFmtId="0" fontId="9" fillId="0" borderId="106" xfId="0" applyFont="1" applyFill="1" applyBorder="1" applyAlignment="1" applyProtection="1">
      <alignment horizontal="center" vertical="center"/>
      <protection/>
    </xf>
    <xf numFmtId="0" fontId="9" fillId="0" borderId="107" xfId="0" applyFont="1" applyFill="1" applyBorder="1" applyAlignment="1" applyProtection="1">
      <alignment horizontal="centerContinuous" vertical="center" wrapText="1"/>
      <protection/>
    </xf>
    <xf numFmtId="3" fontId="0" fillId="0" borderId="77" xfId="0" applyNumberFormat="1" applyFill="1" applyBorder="1" applyAlignment="1" applyProtection="1">
      <alignment/>
      <protection locked="0"/>
    </xf>
    <xf numFmtId="3" fontId="0" fillId="0" borderId="77" xfId="0" applyNumberFormat="1" applyBorder="1" applyAlignment="1" applyProtection="1">
      <alignment/>
      <protection locked="0"/>
    </xf>
    <xf numFmtId="0" fontId="6" fillId="0" borderId="53" xfId="0" applyFont="1" applyFill="1" applyBorder="1" applyAlignment="1" applyProtection="1">
      <alignment horizontal="left" wrapText="1"/>
      <protection/>
    </xf>
    <xf numFmtId="0" fontId="5" fillId="0" borderId="108" xfId="66" applyFont="1" applyBorder="1" applyAlignment="1" applyProtection="1">
      <alignment horizontal="left" vertical="top"/>
      <protection/>
    </xf>
    <xf numFmtId="0" fontId="9" fillId="0" borderId="57" xfId="61" applyFont="1" applyBorder="1" applyAlignment="1">
      <alignment horizontal="right"/>
      <protection/>
    </xf>
    <xf numFmtId="0" fontId="9" fillId="0" borderId="82" xfId="0" applyFont="1" applyFill="1" applyBorder="1" applyAlignment="1" applyProtection="1">
      <alignment horizontal="right" vertical="center"/>
      <protection/>
    </xf>
    <xf numFmtId="0" fontId="9" fillId="0" borderId="75" xfId="0" applyFont="1" applyFill="1" applyBorder="1" applyAlignment="1">
      <alignment horizontal="centerContinuous" vertical="center"/>
    </xf>
    <xf numFmtId="0" fontId="20" fillId="0" borderId="36" xfId="0" applyFont="1" applyFill="1" applyBorder="1" applyAlignment="1" applyProtection="1">
      <alignment horizontal="center"/>
      <protection/>
    </xf>
    <xf numFmtId="0" fontId="6" fillId="0" borderId="11" xfId="66" applyFont="1" applyBorder="1" applyAlignment="1">
      <alignment horizontal="center"/>
      <protection/>
    </xf>
    <xf numFmtId="0" fontId="9" fillId="0" borderId="15" xfId="66" applyFont="1" applyBorder="1" applyAlignment="1">
      <alignment horizontal="centerContinuous" vertical="center"/>
      <protection/>
    </xf>
    <xf numFmtId="0" fontId="9" fillId="0" borderId="38" xfId="66" applyFont="1" applyBorder="1" applyAlignment="1">
      <alignment horizontal="centerContinuous" vertical="center"/>
      <protection/>
    </xf>
    <xf numFmtId="0" fontId="9" fillId="0" borderId="15" xfId="61" applyFont="1" applyFill="1" applyBorder="1" applyAlignment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6" fillId="0" borderId="108" xfId="0" applyFont="1" applyFill="1" applyBorder="1" applyAlignment="1">
      <alignment horizontal="centerContinuous"/>
    </xf>
    <xf numFmtId="0" fontId="8" fillId="0" borderId="105" xfId="0" applyFont="1" applyFill="1" applyBorder="1" applyAlignment="1" applyProtection="1">
      <alignment horizontal="centerContinuous" vertical="center" wrapText="1"/>
      <protection/>
    </xf>
    <xf numFmtId="0" fontId="9" fillId="0" borderId="29" xfId="0" applyFont="1" applyFill="1" applyBorder="1" applyAlignment="1" applyProtection="1">
      <alignment horizontal="center" vertical="center" wrapText="1"/>
      <protection/>
    </xf>
    <xf numFmtId="0" fontId="8" fillId="0" borderId="100" xfId="0" applyFont="1" applyFill="1" applyBorder="1" applyAlignment="1" applyProtection="1">
      <alignment horizontal="centerContinuous" vertical="center" wrapText="1"/>
      <protection/>
    </xf>
    <xf numFmtId="0" fontId="9" fillId="0" borderId="47" xfId="0" applyFont="1" applyFill="1" applyBorder="1" applyAlignment="1">
      <alignment horizontal="centerContinuous" vertical="center"/>
    </xf>
    <xf numFmtId="0" fontId="8" fillId="0" borderId="109" xfId="0" applyFont="1" applyFill="1" applyBorder="1" applyAlignment="1">
      <alignment horizontal="center" vertical="center"/>
    </xf>
    <xf numFmtId="0" fontId="9" fillId="0" borderId="104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15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9" fillId="0" borderId="0" xfId="0" applyFont="1" applyAlignment="1">
      <alignment/>
    </xf>
    <xf numFmtId="0" fontId="9" fillId="0" borderId="65" xfId="0" applyFont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55" xfId="46" applyNumberFormat="1" applyFont="1" applyBorder="1" applyAlignment="1">
      <alignment/>
    </xf>
    <xf numFmtId="38" fontId="6" fillId="0" borderId="37" xfId="46" applyNumberFormat="1" applyFont="1" applyBorder="1" applyAlignment="1">
      <alignment/>
    </xf>
    <xf numFmtId="38" fontId="6" fillId="0" borderId="48" xfId="46" applyNumberFormat="1" applyFont="1" applyBorder="1" applyAlignment="1">
      <alignment/>
    </xf>
    <xf numFmtId="38" fontId="6" fillId="0" borderId="56" xfId="46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55" xfId="0" applyFont="1" applyFill="1" applyBorder="1" applyAlignment="1" applyProtection="1">
      <alignment horizontal="center"/>
      <protection/>
    </xf>
    <xf numFmtId="3" fontId="6" fillId="0" borderId="70" xfId="0" applyNumberFormat="1" applyFont="1" applyFill="1" applyBorder="1" applyAlignment="1" applyProtection="1">
      <alignment/>
      <protection locked="0"/>
    </xf>
    <xf numFmtId="3" fontId="6" fillId="25" borderId="70" xfId="0" applyNumberFormat="1" applyFont="1" applyFill="1" applyBorder="1" applyAlignment="1" applyProtection="1">
      <alignment/>
      <protection locked="0"/>
    </xf>
    <xf numFmtId="3" fontId="6" fillId="25" borderId="52" xfId="0" applyNumberFormat="1" applyFont="1" applyFill="1" applyBorder="1" applyAlignment="1" applyProtection="1">
      <alignment/>
      <protection locked="0"/>
    </xf>
    <xf numFmtId="3" fontId="6" fillId="25" borderId="84" xfId="0" applyNumberFormat="1" applyFont="1" applyFill="1" applyBorder="1" applyAlignment="1" applyProtection="1">
      <alignment/>
      <protection locked="0"/>
    </xf>
    <xf numFmtId="0" fontId="39" fillId="0" borderId="108" xfId="0" applyFont="1" applyBorder="1" applyAlignment="1">
      <alignment horizontal="right" vertical="center" wrapText="1"/>
    </xf>
    <xf numFmtId="3" fontId="6" fillId="0" borderId="19" xfId="65" applyNumberFormat="1" applyFont="1" applyFill="1" applyBorder="1" applyAlignment="1" applyProtection="1">
      <alignment/>
      <protection locked="0"/>
    </xf>
    <xf numFmtId="3" fontId="6" fillId="0" borderId="90" xfId="65" applyNumberFormat="1" applyFont="1" applyFill="1" applyBorder="1" applyAlignment="1" applyProtection="1">
      <alignment/>
      <protection locked="0"/>
    </xf>
    <xf numFmtId="3" fontId="6" fillId="0" borderId="86" xfId="65" applyNumberFormat="1" applyFont="1" applyFill="1" applyBorder="1" applyAlignment="1" applyProtection="1">
      <alignment/>
      <protection locked="0"/>
    </xf>
    <xf numFmtId="3" fontId="6" fillId="0" borderId="110" xfId="65" applyNumberFormat="1" applyFont="1" applyFill="1" applyBorder="1" applyAlignment="1" applyProtection="1">
      <alignment/>
      <protection locked="0"/>
    </xf>
    <xf numFmtId="3" fontId="6" fillId="0" borderId="20" xfId="65" applyNumberFormat="1" applyFont="1" applyFill="1" applyBorder="1" applyAlignment="1" applyProtection="1">
      <alignment/>
      <protection locked="0"/>
    </xf>
    <xf numFmtId="3" fontId="6" fillId="0" borderId="70" xfId="65" applyNumberFormat="1" applyFont="1" applyFill="1" applyBorder="1" applyAlignment="1" applyProtection="1">
      <alignment/>
      <protection locked="0"/>
    </xf>
    <xf numFmtId="3" fontId="6" fillId="0" borderId="63" xfId="65" applyNumberFormat="1" applyFont="1" applyFill="1" applyBorder="1" applyAlignment="1" applyProtection="1">
      <alignment/>
      <protection locked="0"/>
    </xf>
    <xf numFmtId="3" fontId="6" fillId="0" borderId="52" xfId="65" applyNumberFormat="1" applyFont="1" applyFill="1" applyBorder="1" applyAlignment="1" applyProtection="1">
      <alignment/>
      <protection locked="0"/>
    </xf>
    <xf numFmtId="3" fontId="6" fillId="0" borderId="64" xfId="65" applyNumberFormat="1" applyFont="1" applyFill="1" applyBorder="1" applyAlignment="1" applyProtection="1">
      <alignment/>
      <protection locked="0"/>
    </xf>
    <xf numFmtId="3" fontId="6" fillId="0" borderId="91" xfId="65" applyNumberFormat="1" applyFont="1" applyFill="1" applyBorder="1" applyAlignment="1" applyProtection="1">
      <alignment/>
      <protection locked="0"/>
    </xf>
    <xf numFmtId="3" fontId="6" fillId="25" borderId="37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40" fontId="6" fillId="0" borderId="37" xfId="46" applyFont="1" applyBorder="1" applyAlignment="1">
      <alignment/>
    </xf>
    <xf numFmtId="38" fontId="6" fillId="0" borderId="37" xfId="46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10" fontId="6" fillId="0" borderId="37" xfId="69" applyNumberFormat="1" applyFont="1" applyBorder="1" applyAlignment="1">
      <alignment/>
    </xf>
    <xf numFmtId="0" fontId="6" fillId="0" borderId="1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73" fontId="41" fillId="0" borderId="0" xfId="55" applyAlignment="1">
      <alignment vertical="center"/>
      <protection/>
    </xf>
    <xf numFmtId="173" fontId="42" fillId="0" borderId="0" xfId="55" applyFont="1" applyAlignment="1">
      <alignment vertical="center"/>
      <protection/>
    </xf>
    <xf numFmtId="173" fontId="41" fillId="0" borderId="0" xfId="55" applyFill="1" applyAlignment="1">
      <alignment vertical="center"/>
      <protection/>
    </xf>
    <xf numFmtId="173" fontId="17" fillId="0" borderId="0" xfId="55" applyFont="1" applyAlignment="1" applyProtection="1">
      <alignment horizontal="left" vertical="center"/>
      <protection/>
    </xf>
    <xf numFmtId="173" fontId="6" fillId="0" borderId="0" xfId="55" applyFont="1" applyAlignment="1" applyProtection="1">
      <alignment horizontal="left" vertical="top"/>
      <protection/>
    </xf>
    <xf numFmtId="173" fontId="46" fillId="0" borderId="0" xfId="55" applyFont="1" applyAlignment="1">
      <alignment vertical="top"/>
      <protection/>
    </xf>
    <xf numFmtId="173" fontId="46" fillId="0" borderId="0" xfId="55" applyFont="1" applyAlignment="1">
      <alignment vertical="center"/>
      <protection/>
    </xf>
    <xf numFmtId="173" fontId="41" fillId="0" borderId="0" xfId="59" applyNumberFormat="1" applyFont="1" applyAlignment="1">
      <alignment vertical="center"/>
      <protection/>
    </xf>
    <xf numFmtId="173" fontId="6" fillId="0" borderId="85" xfId="55" applyFont="1" applyBorder="1" applyAlignment="1" applyProtection="1">
      <alignment vertical="center"/>
      <protection/>
    </xf>
    <xf numFmtId="173" fontId="48" fillId="0" borderId="0" xfId="55" applyFont="1" applyAlignment="1">
      <alignment vertical="center"/>
      <protection/>
    </xf>
    <xf numFmtId="173" fontId="6" fillId="0" borderId="0" xfId="55" applyFont="1" applyAlignment="1" applyProtection="1">
      <alignment horizontal="left" vertical="center"/>
      <protection/>
    </xf>
    <xf numFmtId="173" fontId="13" fillId="0" borderId="0" xfId="55" applyFont="1" applyAlignment="1" applyProtection="1">
      <alignment horizontal="left" vertical="center"/>
      <protection/>
    </xf>
    <xf numFmtId="173" fontId="17" fillId="0" borderId="0" xfId="55" applyFont="1" applyFill="1" applyAlignment="1" applyProtection="1">
      <alignment horizontal="left" vertical="center"/>
      <protection/>
    </xf>
    <xf numFmtId="173" fontId="49" fillId="0" borderId="0" xfId="55" applyFont="1" applyFill="1" applyAlignment="1" applyProtection="1">
      <alignment horizontal="left" vertical="center"/>
      <protection/>
    </xf>
    <xf numFmtId="0" fontId="15" fillId="0" borderId="86" xfId="0" applyFont="1" applyFill="1" applyBorder="1" applyAlignment="1" applyProtection="1">
      <alignment horizontal="center"/>
      <protection/>
    </xf>
    <xf numFmtId="0" fontId="15" fillId="0" borderId="52" xfId="0" applyFont="1" applyFill="1" applyBorder="1" applyAlignment="1" applyProtection="1">
      <alignment horizontal="center"/>
      <protection/>
    </xf>
    <xf numFmtId="0" fontId="15" fillId="0" borderId="52" xfId="0" applyFont="1" applyFill="1" applyBorder="1" applyAlignment="1" applyProtection="1" quotePrefix="1">
      <alignment horizontal="center"/>
      <protection/>
    </xf>
    <xf numFmtId="0" fontId="15" fillId="0" borderId="63" xfId="0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50" fillId="0" borderId="37" xfId="0" applyNumberFormat="1" applyFont="1" applyBorder="1" applyAlignment="1">
      <alignment horizontal="center"/>
    </xf>
    <xf numFmtId="0" fontId="9" fillId="0" borderId="21" xfId="0" applyFont="1" applyFill="1" applyBorder="1" applyAlignment="1" applyProtection="1">
      <alignment horizontal="left"/>
      <protection/>
    </xf>
    <xf numFmtId="3" fontId="9" fillId="0" borderId="37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5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6" fillId="0" borderId="85" xfId="0" applyFont="1" applyFill="1" applyBorder="1" applyAlignment="1" applyProtection="1">
      <alignment horizontal="centerContinuous"/>
      <protection/>
    </xf>
    <xf numFmtId="0" fontId="0" fillId="0" borderId="75" xfId="0" applyBorder="1" applyAlignment="1" applyProtection="1">
      <alignment horizontal="centerContinuous" vertical="center"/>
      <protection/>
    </xf>
    <xf numFmtId="0" fontId="0" fillId="24" borderId="49" xfId="0" applyFill="1" applyBorder="1" applyAlignment="1" applyProtection="1">
      <alignment/>
      <protection/>
    </xf>
    <xf numFmtId="0" fontId="0" fillId="0" borderId="85" xfId="0" applyBorder="1" applyAlignment="1" applyProtection="1">
      <alignment horizontal="centerContinuous" vertical="center"/>
      <protection/>
    </xf>
    <xf numFmtId="0" fontId="6" fillId="0" borderId="75" xfId="0" applyFont="1" applyFill="1" applyBorder="1" applyAlignment="1" applyProtection="1">
      <alignment horizontal="centerContinuous" vertical="center"/>
      <protection/>
    </xf>
    <xf numFmtId="0" fontId="6" fillId="0" borderId="53" xfId="0" applyFont="1" applyFill="1" applyBorder="1" applyAlignment="1" applyProtection="1">
      <alignment horizontal="centerContinuous"/>
      <protection/>
    </xf>
    <xf numFmtId="0" fontId="6" fillId="0" borderId="37" xfId="0" applyFont="1" applyFill="1" applyBorder="1" applyAlignment="1" applyProtection="1">
      <alignment horizontal="centerContinuous"/>
      <protection/>
    </xf>
    <xf numFmtId="0" fontId="6" fillId="0" borderId="77" xfId="0" applyFont="1" applyFill="1" applyBorder="1" applyAlignment="1" applyProtection="1">
      <alignment horizontal="centerContinuous"/>
      <protection/>
    </xf>
    <xf numFmtId="0" fontId="0" fillId="0" borderId="53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33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44" xfId="0" applyFill="1" applyBorder="1" applyAlignment="1" applyProtection="1">
      <alignment/>
      <protection/>
    </xf>
    <xf numFmtId="0" fontId="9" fillId="0" borderId="53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>
      <alignment horizontal="centerContinuous"/>
    </xf>
    <xf numFmtId="0" fontId="6" fillId="0" borderId="112" xfId="0" applyFont="1" applyFill="1" applyBorder="1" applyAlignment="1">
      <alignment horizontal="center"/>
    </xf>
    <xf numFmtId="173" fontId="17" fillId="0" borderId="0" xfId="55" applyFont="1" applyAlignment="1" applyProtection="1">
      <alignment vertical="center"/>
      <protection/>
    </xf>
    <xf numFmtId="173" fontId="43" fillId="0" borderId="0" xfId="55" applyFont="1" applyAlignment="1" applyProtection="1">
      <alignment vertical="center"/>
      <protection/>
    </xf>
    <xf numFmtId="173" fontId="41" fillId="0" borderId="0" xfId="55" applyAlignment="1" applyProtection="1">
      <alignment vertical="center"/>
      <protection/>
    </xf>
    <xf numFmtId="173" fontId="17" fillId="0" borderId="0" xfId="55" applyFont="1" applyFill="1" applyBorder="1" applyAlignment="1" applyProtection="1">
      <alignment vertical="center"/>
      <protection/>
    </xf>
    <xf numFmtId="0" fontId="6" fillId="0" borderId="0" xfId="52" applyFont="1" applyAlignment="1" applyProtection="1">
      <alignment vertical="center"/>
      <protection/>
    </xf>
    <xf numFmtId="173" fontId="6" fillId="0" borderId="0" xfId="55" applyFont="1" applyAlignment="1" applyProtection="1">
      <alignment vertical="top"/>
      <protection/>
    </xf>
    <xf numFmtId="173" fontId="46" fillId="0" borderId="0" xfId="55" applyFont="1" applyAlignment="1" applyProtection="1">
      <alignment vertical="top"/>
      <protection/>
    </xf>
    <xf numFmtId="173" fontId="9" fillId="0" borderId="0" xfId="55" applyFont="1" applyAlignment="1" applyProtection="1">
      <alignment vertical="center"/>
      <protection/>
    </xf>
    <xf numFmtId="173" fontId="46" fillId="0" borderId="0" xfId="55" applyFont="1" applyAlignment="1" applyProtection="1">
      <alignment vertical="center"/>
      <protection/>
    </xf>
    <xf numFmtId="173" fontId="6" fillId="0" borderId="0" xfId="55" applyFont="1" applyAlignment="1" applyProtection="1">
      <alignment vertical="center"/>
      <protection/>
    </xf>
    <xf numFmtId="173" fontId="47" fillId="0" borderId="0" xfId="55" applyFont="1" applyAlignment="1" applyProtection="1">
      <alignment horizontal="left" vertical="center" wrapText="1"/>
      <protection/>
    </xf>
    <xf numFmtId="173" fontId="17" fillId="0" borderId="0" xfId="55" applyFont="1" applyFill="1" applyAlignment="1" applyProtection="1">
      <alignment vertical="center"/>
      <protection/>
    </xf>
    <xf numFmtId="0" fontId="45" fillId="0" borderId="0" xfId="52" applyFont="1" applyFill="1" applyBorder="1" applyAlignment="1" applyProtection="1">
      <alignment horizontal="left" vertical="center"/>
      <protection/>
    </xf>
    <xf numFmtId="0" fontId="6" fillId="0" borderId="0" xfId="52" applyFont="1" applyFill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173" fontId="13" fillId="0" borderId="0" xfId="59" applyNumberFormat="1" applyFont="1" applyAlignment="1" applyProtection="1">
      <alignment vertical="center"/>
      <protection/>
    </xf>
    <xf numFmtId="173" fontId="22" fillId="0" borderId="0" xfId="59" applyNumberFormat="1" applyFont="1" applyAlignment="1" applyProtection="1">
      <alignment vertical="center"/>
      <protection/>
    </xf>
    <xf numFmtId="173" fontId="17" fillId="0" borderId="0" xfId="59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73" fontId="17" fillId="0" borderId="0" xfId="59" applyNumberFormat="1" applyFont="1" applyBorder="1" applyAlignment="1" applyProtection="1">
      <alignment vertical="center"/>
      <protection/>
    </xf>
    <xf numFmtId="173" fontId="8" fillId="0" borderId="0" xfId="55" applyFont="1" applyAlignment="1" applyProtection="1">
      <alignment vertical="center"/>
      <protection/>
    </xf>
    <xf numFmtId="173" fontId="48" fillId="0" borderId="0" xfId="55" applyFont="1" applyAlignment="1" applyProtection="1">
      <alignment vertical="center"/>
      <protection/>
    </xf>
    <xf numFmtId="173" fontId="17" fillId="0" borderId="0" xfId="55" applyFont="1" applyBorder="1" applyAlignment="1" applyProtection="1">
      <alignment vertical="center"/>
      <protection/>
    </xf>
    <xf numFmtId="0" fontId="17" fillId="0" borderId="0" xfId="59" applyProtection="1">
      <alignment/>
      <protection/>
    </xf>
    <xf numFmtId="173" fontId="8" fillId="0" borderId="37" xfId="55" applyFont="1" applyFill="1" applyBorder="1" applyAlignment="1" applyProtection="1">
      <alignment horizontal="center" vertical="center"/>
      <protection/>
    </xf>
    <xf numFmtId="173" fontId="41" fillId="0" borderId="0" xfId="55" applyFont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173" fontId="17" fillId="0" borderId="0" xfId="55" applyFont="1" applyAlignment="1" applyProtection="1">
      <alignment horizontal="right" vertical="center"/>
      <protection/>
    </xf>
    <xf numFmtId="173" fontId="17" fillId="0" borderId="0" xfId="55" applyFont="1" applyFill="1" applyBorder="1" applyAlignment="1" applyProtection="1">
      <alignment horizontal="right" vertical="center"/>
      <protection/>
    </xf>
    <xf numFmtId="173" fontId="49" fillId="0" borderId="0" xfId="55" applyFont="1" applyAlignment="1" applyProtection="1">
      <alignment horizontal="right" vertical="center"/>
      <protection/>
    </xf>
    <xf numFmtId="173" fontId="49" fillId="0" borderId="0" xfId="55" applyFont="1" applyFill="1" applyBorder="1" applyAlignment="1" applyProtection="1">
      <alignment horizontal="right" vertical="center"/>
      <protection/>
    </xf>
    <xf numFmtId="173" fontId="49" fillId="0" borderId="0" xfId="55" applyFont="1" applyFill="1" applyBorder="1" applyAlignment="1" applyProtection="1">
      <alignment vertical="center"/>
      <protection/>
    </xf>
    <xf numFmtId="173" fontId="49" fillId="0" borderId="0" xfId="55" applyFont="1" applyAlignment="1" applyProtection="1">
      <alignment vertical="center"/>
      <protection/>
    </xf>
    <xf numFmtId="173" fontId="22" fillId="0" borderId="0" xfId="55" applyFont="1" applyAlignment="1" applyProtection="1">
      <alignment vertical="center"/>
      <protection/>
    </xf>
    <xf numFmtId="0" fontId="17" fillId="0" borderId="0" xfId="59" applyAlignment="1" applyProtection="1">
      <alignment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25" fillId="0" borderId="0" xfId="0" applyFont="1" applyAlignment="1" applyProtection="1">
      <alignment vertical="center"/>
      <protection/>
    </xf>
    <xf numFmtId="198" fontId="42" fillId="0" borderId="0" xfId="55" applyNumberFormat="1" applyFont="1" applyAlignment="1" applyProtection="1">
      <alignment vertical="center"/>
      <protection/>
    </xf>
    <xf numFmtId="173" fontId="52" fillId="0" borderId="0" xfId="55" applyFont="1" applyAlignment="1" applyProtection="1">
      <alignment vertical="center"/>
      <protection/>
    </xf>
    <xf numFmtId="198" fontId="6" fillId="0" borderId="0" xfId="0" applyNumberFormat="1" applyFont="1" applyBorder="1" applyAlignment="1" applyProtection="1">
      <alignment/>
      <protection/>
    </xf>
    <xf numFmtId="198" fontId="41" fillId="0" borderId="0" xfId="55" applyNumberFormat="1" applyAlignment="1" applyProtection="1">
      <alignment vertical="center"/>
      <protection locked="0"/>
    </xf>
    <xf numFmtId="0" fontId="6" fillId="0" borderId="86" xfId="66" applyFont="1" applyFill="1" applyBorder="1" applyAlignment="1">
      <alignment horizontal="centerContinuous" vertical="center" wrapText="1"/>
      <protection/>
    </xf>
    <xf numFmtId="0" fontId="18" fillId="0" borderId="89" xfId="66" applyFont="1" applyFill="1" applyBorder="1" applyAlignment="1" applyProtection="1">
      <alignment horizontal="centerContinuous" vertical="center" wrapText="1"/>
      <protection/>
    </xf>
    <xf numFmtId="0" fontId="9" fillId="0" borderId="0" xfId="66" applyFont="1" applyBorder="1" applyAlignment="1">
      <alignment horizontal="centerContinuous" vertical="center"/>
      <protection/>
    </xf>
    <xf numFmtId="49" fontId="17" fillId="0" borderId="37" xfId="55" applyNumberFormat="1" applyFont="1" applyBorder="1" applyAlignment="1" applyProtection="1">
      <alignment horizontal="left" vertical="center"/>
      <protection locked="0"/>
    </xf>
    <xf numFmtId="0" fontId="18" fillId="0" borderId="92" xfId="66" applyFont="1" applyFill="1" applyBorder="1" applyAlignment="1" applyProtection="1">
      <alignment horizontal="centerContinuous" vertical="center" wrapText="1"/>
      <protection/>
    </xf>
    <xf numFmtId="0" fontId="19" fillId="0" borderId="113" xfId="66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14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37" xfId="46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9" fillId="0" borderId="37" xfId="0" applyNumberFormat="1" applyFont="1" applyFill="1" applyBorder="1" applyAlignment="1" applyProtection="1">
      <alignment horizontal="center" vertical="center" wrapText="1"/>
      <protection/>
    </xf>
    <xf numFmtId="3" fontId="14" fillId="0" borderId="37" xfId="0" applyNumberFormat="1" applyFont="1" applyFill="1" applyBorder="1" applyAlignment="1" applyProtection="1">
      <alignment horizontal="center" vertical="center" wrapText="1"/>
      <protection/>
    </xf>
    <xf numFmtId="3" fontId="6" fillId="0" borderId="37" xfId="0" applyNumberFormat="1" applyFont="1" applyBorder="1" applyAlignment="1">
      <alignment/>
    </xf>
    <xf numFmtId="0" fontId="53" fillId="0" borderId="0" xfId="0" applyFont="1" applyAlignment="1">
      <alignment/>
    </xf>
    <xf numFmtId="38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102" xfId="69" applyNumberFormat="1" applyFont="1" applyBorder="1" applyAlignment="1">
      <alignment horizontal="center"/>
    </xf>
    <xf numFmtId="10" fontId="0" fillId="0" borderId="77" xfId="69" applyNumberFormat="1" applyFont="1" applyBorder="1" applyAlignment="1">
      <alignment horizontal="center"/>
    </xf>
    <xf numFmtId="10" fontId="0" fillId="0" borderId="114" xfId="69" applyNumberFormat="1" applyFont="1" applyBorder="1" applyAlignment="1">
      <alignment horizontal="center"/>
    </xf>
    <xf numFmtId="10" fontId="27" fillId="0" borderId="48" xfId="69" applyNumberFormat="1" applyFont="1" applyBorder="1" applyAlignment="1">
      <alignment horizontal="center" wrapText="1"/>
    </xf>
    <xf numFmtId="10" fontId="0" fillId="0" borderId="48" xfId="69" applyNumberFormat="1" applyFont="1" applyBorder="1" applyAlignment="1">
      <alignment horizontal="center"/>
    </xf>
    <xf numFmtId="10" fontId="0" fillId="0" borderId="63" xfId="69" applyNumberFormat="1" applyFont="1" applyBorder="1" applyAlignment="1">
      <alignment horizontal="center"/>
    </xf>
    <xf numFmtId="10" fontId="0" fillId="0" borderId="69" xfId="69" applyNumberFormat="1" applyFont="1" applyBorder="1" applyAlignment="1">
      <alignment horizontal="center"/>
    </xf>
    <xf numFmtId="0" fontId="6" fillId="0" borderId="115" xfId="66" applyFont="1" applyFill="1" applyBorder="1" applyAlignment="1" applyProtection="1">
      <alignment horizontal="center"/>
      <protection/>
    </xf>
    <xf numFmtId="200" fontId="6" fillId="25" borderId="70" xfId="0" applyNumberFormat="1" applyFont="1" applyFill="1" applyBorder="1" applyAlignment="1">
      <alignment/>
    </xf>
    <xf numFmtId="200" fontId="6" fillId="25" borderId="102" xfId="0" applyNumberFormat="1" applyFont="1" applyFill="1" applyBorder="1" applyAlignment="1">
      <alignment/>
    </xf>
    <xf numFmtId="200" fontId="6" fillId="0" borderId="116" xfId="0" applyNumberFormat="1" applyFont="1" applyFill="1" applyBorder="1" applyAlignment="1">
      <alignment/>
    </xf>
    <xf numFmtId="200" fontId="6" fillId="0" borderId="117" xfId="0" applyNumberFormat="1" applyFont="1" applyFill="1" applyBorder="1" applyAlignment="1">
      <alignment/>
    </xf>
    <xf numFmtId="200" fontId="6" fillId="0" borderId="118" xfId="0" applyNumberFormat="1" applyFont="1" applyFill="1" applyBorder="1" applyAlignment="1">
      <alignment/>
    </xf>
    <xf numFmtId="200" fontId="6" fillId="0" borderId="57" xfId="61" applyNumberFormat="1" applyFont="1" applyFill="1" applyBorder="1">
      <alignment/>
      <protection/>
    </xf>
    <xf numFmtId="200" fontId="6" fillId="0" borderId="117" xfId="61" applyNumberFormat="1" applyFont="1" applyFill="1" applyBorder="1">
      <alignment/>
      <protection/>
    </xf>
    <xf numFmtId="200" fontId="6" fillId="0" borderId="116" xfId="61" applyNumberFormat="1" applyFont="1" applyFill="1" applyBorder="1">
      <alignment/>
      <protection/>
    </xf>
    <xf numFmtId="200" fontId="6" fillId="25" borderId="71" xfId="0" applyNumberFormat="1" applyFont="1" applyFill="1" applyBorder="1" applyAlignment="1">
      <alignment/>
    </xf>
    <xf numFmtId="200" fontId="6" fillId="25" borderId="119" xfId="0" applyNumberFormat="1" applyFont="1" applyFill="1" applyBorder="1" applyAlignment="1">
      <alignment vertical="center"/>
    </xf>
    <xf numFmtId="200" fontId="6" fillId="0" borderId="116" xfId="0" applyNumberFormat="1" applyFont="1" applyFill="1" applyBorder="1" applyAlignment="1" applyProtection="1">
      <alignment vertical="center"/>
      <protection/>
    </xf>
    <xf numFmtId="200" fontId="6" fillId="0" borderId="120" xfId="0" applyNumberFormat="1" applyFont="1" applyFill="1" applyBorder="1" applyAlignment="1" applyProtection="1">
      <alignment vertical="center"/>
      <protection/>
    </xf>
    <xf numFmtId="200" fontId="6" fillId="0" borderId="89" xfId="61" applyNumberFormat="1" applyFont="1" applyFill="1" applyBorder="1" applyProtection="1">
      <alignment/>
      <protection/>
    </xf>
    <xf numFmtId="200" fontId="6" fillId="0" borderId="101" xfId="61" applyNumberFormat="1" applyFont="1" applyFill="1" applyBorder="1" applyProtection="1">
      <alignment/>
      <protection/>
    </xf>
    <xf numFmtId="200" fontId="6" fillId="0" borderId="72" xfId="61" applyNumberFormat="1" applyFont="1" applyFill="1" applyBorder="1" applyProtection="1">
      <alignment/>
      <protection/>
    </xf>
    <xf numFmtId="200" fontId="6" fillId="0" borderId="102" xfId="61" applyNumberFormat="1" applyFont="1" applyFill="1" applyBorder="1" applyProtection="1">
      <alignment/>
      <protection/>
    </xf>
    <xf numFmtId="200" fontId="6" fillId="0" borderId="116" xfId="61" applyNumberFormat="1" applyFont="1" applyFill="1" applyBorder="1" applyProtection="1">
      <alignment/>
      <protection/>
    </xf>
    <xf numFmtId="200" fontId="6" fillId="0" borderId="117" xfId="61" applyNumberFormat="1" applyFont="1" applyFill="1" applyBorder="1" applyProtection="1">
      <alignment/>
      <protection/>
    </xf>
    <xf numFmtId="200" fontId="6" fillId="0" borderId="88" xfId="62" applyNumberFormat="1" applyFont="1" applyFill="1" applyBorder="1" applyAlignment="1" applyProtection="1">
      <alignment/>
      <protection/>
    </xf>
    <xf numFmtId="200" fontId="6" fillId="0" borderId="77" xfId="62" applyNumberFormat="1" applyFont="1" applyFill="1" applyBorder="1" applyAlignment="1" applyProtection="1">
      <alignment/>
      <protection/>
    </xf>
    <xf numFmtId="200" fontId="6" fillId="25" borderId="116" xfId="62" applyNumberFormat="1" applyFont="1" applyFill="1" applyBorder="1" applyAlignment="1">
      <alignment/>
      <protection/>
    </xf>
    <xf numFmtId="200" fontId="6" fillId="25" borderId="118" xfId="62" applyNumberFormat="1" applyFont="1" applyFill="1" applyBorder="1" applyAlignment="1">
      <alignment/>
      <protection/>
    </xf>
    <xf numFmtId="200" fontId="6" fillId="25" borderId="117" xfId="62" applyNumberFormat="1" applyFont="1" applyFill="1" applyBorder="1" applyAlignment="1">
      <alignment/>
      <protection/>
    </xf>
    <xf numFmtId="200" fontId="6" fillId="25" borderId="116" xfId="63" applyNumberFormat="1" applyFont="1" applyFill="1" applyBorder="1">
      <alignment/>
      <protection/>
    </xf>
    <xf numFmtId="200" fontId="6" fillId="25" borderId="117" xfId="63" applyNumberFormat="1" applyFont="1" applyFill="1" applyBorder="1">
      <alignment/>
      <protection/>
    </xf>
    <xf numFmtId="200" fontId="6" fillId="25" borderId="118" xfId="63" applyNumberFormat="1" applyFont="1" applyFill="1" applyBorder="1">
      <alignment/>
      <protection/>
    </xf>
    <xf numFmtId="200" fontId="6" fillId="25" borderId="64" xfId="63" applyNumberFormat="1" applyFont="1" applyFill="1" applyBorder="1">
      <alignment/>
      <protection/>
    </xf>
    <xf numFmtId="200" fontId="6" fillId="25" borderId="121" xfId="63" applyNumberFormat="1" applyFont="1" applyFill="1" applyBorder="1">
      <alignment/>
      <protection/>
    </xf>
    <xf numFmtId="200" fontId="6" fillId="25" borderId="75" xfId="63" applyNumberFormat="1" applyFont="1" applyFill="1" applyBorder="1">
      <alignment/>
      <protection/>
    </xf>
    <xf numFmtId="200" fontId="6" fillId="25" borderId="89" xfId="64" applyNumberFormat="1" applyFont="1" applyFill="1" applyBorder="1">
      <alignment/>
      <protection/>
    </xf>
    <xf numFmtId="200" fontId="6" fillId="25" borderId="121" xfId="64" applyNumberFormat="1" applyFont="1" applyFill="1" applyBorder="1">
      <alignment/>
      <protection/>
    </xf>
    <xf numFmtId="200" fontId="6" fillId="25" borderId="72" xfId="64" applyNumberFormat="1" applyFont="1" applyFill="1" applyBorder="1">
      <alignment/>
      <protection/>
    </xf>
    <xf numFmtId="200" fontId="6" fillId="25" borderId="75" xfId="64" applyNumberFormat="1" applyFont="1" applyFill="1" applyBorder="1">
      <alignment/>
      <protection/>
    </xf>
    <xf numFmtId="200" fontId="6" fillId="25" borderId="116" xfId="64" applyNumberFormat="1" applyFont="1" applyFill="1" applyBorder="1">
      <alignment/>
      <protection/>
    </xf>
    <xf numFmtId="200" fontId="6" fillId="25" borderId="118" xfId="64" applyNumberFormat="1" applyFont="1" applyFill="1" applyBorder="1">
      <alignment/>
      <protection/>
    </xf>
    <xf numFmtId="200" fontId="6" fillId="25" borderId="117" xfId="64" applyNumberFormat="1" applyFont="1" applyFill="1" applyBorder="1">
      <alignment/>
      <protection/>
    </xf>
    <xf numFmtId="200" fontId="6" fillId="25" borderId="88" xfId="65" applyNumberFormat="1" applyFont="1" applyFill="1" applyBorder="1" applyAlignment="1">
      <alignment/>
      <protection/>
    </xf>
    <xf numFmtId="200" fontId="6" fillId="25" borderId="84" xfId="65" applyNumberFormat="1" applyFont="1" applyFill="1" applyBorder="1" applyAlignment="1">
      <alignment/>
      <protection/>
    </xf>
    <xf numFmtId="200" fontId="6" fillId="25" borderId="116" xfId="65" applyNumberFormat="1" applyFont="1" applyFill="1" applyBorder="1" applyAlignment="1">
      <alignment/>
      <protection/>
    </xf>
    <xf numFmtId="200" fontId="6" fillId="25" borderId="117" xfId="65" applyNumberFormat="1" applyFont="1" applyFill="1" applyBorder="1" applyAlignment="1">
      <alignment/>
      <protection/>
    </xf>
    <xf numFmtId="3" fontId="6" fillId="0" borderId="122" xfId="0" applyNumberFormat="1" applyFont="1" applyBorder="1" applyAlignment="1" applyProtection="1">
      <alignment horizontal="center"/>
      <protection locked="0"/>
    </xf>
    <xf numFmtId="3" fontId="6" fillId="0" borderId="105" xfId="0" applyNumberFormat="1" applyFont="1" applyFill="1" applyBorder="1" applyAlignment="1" applyProtection="1">
      <alignment/>
      <protection locked="0"/>
    </xf>
    <xf numFmtId="3" fontId="6" fillId="0" borderId="88" xfId="0" applyNumberFormat="1" applyFont="1" applyBorder="1" applyAlignment="1" applyProtection="1">
      <alignment horizontal="center"/>
      <protection locked="0"/>
    </xf>
    <xf numFmtId="3" fontId="6" fillId="0" borderId="84" xfId="0" applyNumberFormat="1" applyFont="1" applyFill="1" applyBorder="1" applyAlignment="1" applyProtection="1">
      <alignment/>
      <protection locked="0"/>
    </xf>
    <xf numFmtId="200" fontId="6" fillId="25" borderId="89" xfId="0" applyNumberFormat="1" applyFont="1" applyFill="1" applyBorder="1" applyAlignment="1">
      <alignment/>
    </xf>
    <xf numFmtId="200" fontId="6" fillId="25" borderId="101" xfId="0" applyNumberFormat="1" applyFont="1" applyFill="1" applyBorder="1" applyAlignment="1">
      <alignment/>
    </xf>
    <xf numFmtId="200" fontId="6" fillId="25" borderId="72" xfId="0" applyNumberFormat="1" applyFont="1" applyFill="1" applyBorder="1" applyAlignment="1">
      <alignment/>
    </xf>
    <xf numFmtId="200" fontId="6" fillId="25" borderId="102" xfId="0" applyNumberFormat="1" applyFont="1" applyFill="1" applyBorder="1" applyAlignment="1">
      <alignment/>
    </xf>
    <xf numFmtId="200" fontId="6" fillId="0" borderId="116" xfId="0" applyNumberFormat="1" applyFont="1" applyFill="1" applyBorder="1" applyAlignment="1" applyProtection="1">
      <alignment/>
      <protection/>
    </xf>
    <xf numFmtId="200" fontId="6" fillId="0" borderId="118" xfId="0" applyNumberFormat="1" applyFont="1" applyFill="1" applyBorder="1" applyAlignment="1" applyProtection="1">
      <alignment/>
      <protection/>
    </xf>
    <xf numFmtId="200" fontId="6" fillId="0" borderId="117" xfId="0" applyNumberFormat="1" applyFont="1" applyFill="1" applyBorder="1" applyAlignment="1" applyProtection="1">
      <alignment/>
      <protection/>
    </xf>
    <xf numFmtId="200" fontId="6" fillId="25" borderId="116" xfId="66" applyNumberFormat="1" applyFont="1" applyFill="1" applyBorder="1">
      <alignment/>
      <protection/>
    </xf>
    <xf numFmtId="200" fontId="6" fillId="25" borderId="117" xfId="66" applyNumberFormat="1" applyFont="1" applyFill="1" applyBorder="1">
      <alignment/>
      <protection/>
    </xf>
    <xf numFmtId="200" fontId="6" fillId="25" borderId="118" xfId="66" applyNumberFormat="1" applyFont="1" applyFill="1" applyBorder="1">
      <alignment/>
      <protection/>
    </xf>
    <xf numFmtId="0" fontId="6" fillId="0" borderId="94" xfId="66" applyFont="1" applyFill="1" applyBorder="1" applyAlignment="1">
      <alignment horizontal="centerContinuous" vertical="center" wrapText="1"/>
      <protection/>
    </xf>
    <xf numFmtId="200" fontId="6" fillId="25" borderId="123" xfId="0" applyNumberFormat="1" applyFont="1" applyFill="1" applyBorder="1" applyAlignment="1">
      <alignment/>
    </xf>
    <xf numFmtId="200" fontId="6" fillId="25" borderId="124" xfId="0" applyNumberFormat="1" applyFont="1" applyFill="1" applyBorder="1" applyAlignment="1">
      <alignment/>
    </xf>
    <xf numFmtId="200" fontId="6" fillId="25" borderId="71" xfId="0" applyNumberFormat="1" applyFont="1" applyFill="1" applyBorder="1" applyAlignment="1">
      <alignment/>
    </xf>
    <xf numFmtId="200" fontId="6" fillId="25" borderId="116" xfId="0" applyNumberFormat="1" applyFont="1" applyFill="1" applyBorder="1" applyAlignment="1">
      <alignment/>
    </xf>
    <xf numFmtId="200" fontId="6" fillId="25" borderId="75" xfId="0" applyNumberFormat="1" applyFont="1" applyFill="1" applyBorder="1" applyAlignment="1">
      <alignment/>
    </xf>
    <xf numFmtId="200" fontId="9" fillId="0" borderId="81" xfId="0" applyNumberFormat="1" applyFont="1" applyFill="1" applyBorder="1" applyAlignment="1" applyProtection="1">
      <alignment vertical="center"/>
      <protection/>
    </xf>
    <xf numFmtId="200" fontId="9" fillId="0" borderId="81" xfId="0" applyNumberFormat="1" applyFont="1" applyFill="1" applyBorder="1" applyAlignment="1" applyProtection="1">
      <alignment/>
      <protection/>
    </xf>
    <xf numFmtId="0" fontId="43" fillId="0" borderId="0" xfId="55" applyNumberFormat="1" applyFont="1" applyAlignment="1" applyProtection="1">
      <alignment vertical="center"/>
      <protection/>
    </xf>
    <xf numFmtId="0" fontId="20" fillId="0" borderId="29" xfId="66" applyFont="1" applyFill="1" applyBorder="1" applyAlignment="1">
      <alignment horizontal="center"/>
      <protection/>
    </xf>
    <xf numFmtId="0" fontId="41" fillId="0" borderId="0" xfId="55" applyNumberFormat="1" applyAlignment="1" applyProtection="1">
      <alignment vertical="center"/>
      <protection locked="0"/>
    </xf>
    <xf numFmtId="0" fontId="25" fillId="0" borderId="125" xfId="0" applyFont="1" applyBorder="1" applyAlignment="1">
      <alignment horizontal="left" vertical="center" wrapText="1"/>
    </xf>
    <xf numFmtId="0" fontId="7" fillId="0" borderId="41" xfId="0" applyFont="1" applyFill="1" applyBorder="1" applyAlignment="1" applyProtection="1">
      <alignment horizontal="left"/>
      <protection/>
    </xf>
    <xf numFmtId="0" fontId="29" fillId="0" borderId="24" xfId="0" applyFont="1" applyFill="1" applyBorder="1" applyAlignment="1">
      <alignment horizontal="center"/>
    </xf>
    <xf numFmtId="0" fontId="29" fillId="0" borderId="48" xfId="0" applyFont="1" applyFill="1" applyBorder="1" applyAlignment="1">
      <alignment horizontal="center"/>
    </xf>
    <xf numFmtId="0" fontId="29" fillId="0" borderId="63" xfId="0" applyFont="1" applyFill="1" applyBorder="1" applyAlignment="1" applyProtection="1">
      <alignment horizontal="center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126" xfId="0" applyNumberFormat="1" applyFont="1" applyFill="1" applyBorder="1" applyAlignment="1" applyProtection="1">
      <alignment horizontal="center" vertical="center" wrapText="1"/>
      <protection/>
    </xf>
    <xf numFmtId="0" fontId="19" fillId="0" borderId="126" xfId="0" applyFont="1" applyFill="1" applyBorder="1" applyAlignment="1" applyProtection="1">
      <alignment horizontal="center" vertical="center" wrapText="1"/>
      <protection/>
    </xf>
    <xf numFmtId="0" fontId="56" fillId="0" borderId="34" xfId="0" applyFont="1" applyFill="1" applyBorder="1" applyAlignment="1">
      <alignment horizontal="center" vertical="center" wrapText="1"/>
    </xf>
    <xf numFmtId="0" fontId="56" fillId="0" borderId="127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18" fillId="0" borderId="19" xfId="66" applyFont="1" applyFill="1" applyBorder="1" applyAlignment="1" applyProtection="1">
      <alignment horizontal="centerContinuous" vertical="center" wrapText="1"/>
      <protection/>
    </xf>
    <xf numFmtId="0" fontId="6" fillId="0" borderId="20" xfId="66" applyFont="1" applyFill="1" applyBorder="1" applyAlignment="1">
      <alignment horizontal="centerContinuous" vertical="center" wrapText="1"/>
      <protection/>
    </xf>
    <xf numFmtId="2" fontId="6" fillId="0" borderId="128" xfId="0" applyNumberFormat="1" applyFont="1" applyBorder="1" applyAlignment="1">
      <alignment horizontal="center" vertical="center" wrapText="1"/>
    </xf>
    <xf numFmtId="173" fontId="13" fillId="0" borderId="0" xfId="55" applyFont="1" applyAlignment="1" applyProtection="1">
      <alignment horizontal="left" vertical="center" wrapText="1"/>
      <protection/>
    </xf>
    <xf numFmtId="198" fontId="41" fillId="0" borderId="0" xfId="55" applyNumberFormat="1" applyFont="1" applyFill="1" applyAlignment="1" applyProtection="1">
      <alignment vertical="center"/>
      <protection/>
    </xf>
    <xf numFmtId="198" fontId="42" fillId="0" borderId="0" xfId="55" applyNumberFormat="1" applyFont="1" applyFill="1" applyAlignment="1" applyProtection="1">
      <alignment vertical="center"/>
      <protection/>
    </xf>
    <xf numFmtId="173" fontId="59" fillId="0" borderId="0" xfId="55" applyFont="1" applyAlignment="1">
      <alignment horizontal="center" vertical="center" wrapText="1"/>
      <protection/>
    </xf>
    <xf numFmtId="0" fontId="59" fillId="0" borderId="0" xfId="55" applyNumberFormat="1" applyFont="1" applyAlignment="1">
      <alignment horizontal="center" vertical="center" wrapText="1"/>
      <protection/>
    </xf>
    <xf numFmtId="49" fontId="61" fillId="22" borderId="65" xfId="36" applyNumberFormat="1" applyFont="1" applyFill="1" applyBorder="1" applyAlignment="1" applyProtection="1">
      <alignment horizontal="left" vertical="center"/>
      <protection locked="0"/>
    </xf>
    <xf numFmtId="49" fontId="62" fillId="0" borderId="65" xfId="36" applyNumberFormat="1" applyFont="1" applyBorder="1" applyAlignment="1" applyProtection="1">
      <alignment horizontal="left" vertical="center"/>
      <protection locked="0"/>
    </xf>
    <xf numFmtId="49" fontId="17" fillId="0" borderId="37" xfId="0" applyNumberFormat="1" applyFont="1" applyBorder="1" applyAlignment="1" applyProtection="1">
      <alignment horizontal="left"/>
      <protection locked="0"/>
    </xf>
    <xf numFmtId="0" fontId="8" fillId="22" borderId="0" xfId="0" applyFont="1" applyFill="1" applyAlignment="1" applyProtection="1">
      <alignment horizontal="center" vertical="top"/>
      <protection/>
    </xf>
    <xf numFmtId="0" fontId="41" fillId="0" borderId="0" xfId="55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3" fillId="0" borderId="0" xfId="55" applyFont="1" applyBorder="1" applyAlignment="1" applyProtection="1">
      <alignment horizontal="left" vertical="center" wrapText="1"/>
      <protection/>
    </xf>
    <xf numFmtId="173" fontId="41" fillId="0" borderId="0" xfId="55" applyFont="1" applyAlignment="1">
      <alignment vertical="center"/>
      <protection/>
    </xf>
    <xf numFmtId="173" fontId="63" fillId="0" borderId="0" xfId="55" applyFont="1" applyAlignment="1" applyProtection="1">
      <alignment vertical="center"/>
      <protection/>
    </xf>
    <xf numFmtId="173" fontId="64" fillId="0" borderId="0" xfId="55" applyFont="1" applyAlignment="1" applyProtection="1">
      <alignment vertical="center"/>
      <protection/>
    </xf>
    <xf numFmtId="173" fontId="63" fillId="0" borderId="0" xfId="55" applyFont="1" applyAlignment="1">
      <alignment vertical="center"/>
      <protection/>
    </xf>
    <xf numFmtId="173" fontId="63" fillId="0" borderId="0" xfId="55" applyFont="1" applyAlignment="1">
      <alignment horizontal="center" vertical="center"/>
      <protection/>
    </xf>
    <xf numFmtId="173" fontId="65" fillId="0" borderId="0" xfId="55" applyFont="1" applyAlignment="1" applyProtection="1">
      <alignment vertical="center"/>
      <protection/>
    </xf>
    <xf numFmtId="173" fontId="65" fillId="0" borderId="0" xfId="55" applyFont="1" applyAlignment="1">
      <alignment vertical="center"/>
      <protection/>
    </xf>
    <xf numFmtId="0" fontId="6" fillId="0" borderId="129" xfId="0" applyFont="1" applyFill="1" applyBorder="1" applyAlignment="1" applyProtection="1">
      <alignment horizontal="left"/>
      <protection/>
    </xf>
    <xf numFmtId="0" fontId="6" fillId="25" borderId="130" xfId="0" applyFont="1" applyFill="1" applyBorder="1" applyAlignment="1">
      <alignment horizontal="center"/>
    </xf>
    <xf numFmtId="3" fontId="6" fillId="25" borderId="130" xfId="0" applyNumberFormat="1" applyFont="1" applyFill="1" applyBorder="1" applyAlignment="1">
      <alignment horizontal="center"/>
    </xf>
    <xf numFmtId="0" fontId="9" fillId="0" borderId="131" xfId="0" applyFont="1" applyFill="1" applyBorder="1" applyAlignment="1" applyProtection="1">
      <alignment horizontal="center"/>
      <protection/>
    </xf>
    <xf numFmtId="3" fontId="9" fillId="0" borderId="132" xfId="0" applyNumberFormat="1" applyFont="1" applyBorder="1" applyAlignment="1">
      <alignment horizontal="center"/>
    </xf>
    <xf numFmtId="2" fontId="6" fillId="0" borderId="30" xfId="46" applyNumberFormat="1" applyFont="1" applyFill="1" applyBorder="1" applyAlignment="1" applyProtection="1">
      <alignment/>
      <protection locked="0"/>
    </xf>
    <xf numFmtId="2" fontId="6" fillId="0" borderId="52" xfId="46" applyNumberFormat="1" applyFont="1" applyFill="1" applyBorder="1" applyAlignment="1" applyProtection="1">
      <alignment/>
      <protection locked="0"/>
    </xf>
    <xf numFmtId="2" fontId="6" fillId="0" borderId="102" xfId="46" applyNumberFormat="1" applyFont="1" applyFill="1" applyBorder="1" applyAlignment="1" applyProtection="1">
      <alignment/>
      <protection locked="0"/>
    </xf>
    <xf numFmtId="2" fontId="6" fillId="0" borderId="88" xfId="46" applyNumberFormat="1" applyFont="1" applyFill="1" applyBorder="1" applyAlignment="1" applyProtection="1">
      <alignment/>
      <protection locked="0"/>
    </xf>
    <xf numFmtId="2" fontId="6" fillId="0" borderId="84" xfId="46" applyNumberFormat="1" applyFont="1" applyFill="1" applyBorder="1" applyAlignment="1" applyProtection="1">
      <alignment/>
      <protection locked="0"/>
    </xf>
    <xf numFmtId="2" fontId="6" fillId="0" borderId="77" xfId="46" applyNumberFormat="1" applyFont="1" applyFill="1" applyBorder="1" applyAlignment="1" applyProtection="1">
      <alignment/>
      <protection locked="0"/>
    </xf>
    <xf numFmtId="2" fontId="6" fillId="0" borderId="70" xfId="46" applyNumberFormat="1" applyFont="1" applyFill="1" applyBorder="1" applyAlignment="1" applyProtection="1">
      <alignment/>
      <protection locked="0"/>
    </xf>
    <xf numFmtId="0" fontId="16" fillId="0" borderId="30" xfId="0" applyFont="1" applyFill="1" applyBorder="1" applyAlignment="1" applyProtection="1">
      <alignment horizontal="center"/>
      <protection/>
    </xf>
    <xf numFmtId="0" fontId="16" fillId="0" borderId="31" xfId="0" applyFont="1" applyFill="1" applyBorder="1" applyAlignment="1" applyProtection="1">
      <alignment horizontal="center"/>
      <protection/>
    </xf>
    <xf numFmtId="0" fontId="16" fillId="0" borderId="44" xfId="0" applyFont="1" applyFill="1" applyBorder="1" applyAlignment="1" applyProtection="1">
      <alignment horizontal="center"/>
      <protection/>
    </xf>
    <xf numFmtId="2" fontId="6" fillId="0" borderId="92" xfId="46" applyNumberFormat="1" applyFont="1" applyFill="1" applyBorder="1" applyAlignment="1" applyProtection="1">
      <alignment/>
      <protection locked="0"/>
    </xf>
    <xf numFmtId="208" fontId="6" fillId="0" borderId="116" xfId="46" applyNumberFormat="1" applyFont="1" applyFill="1" applyBorder="1" applyAlignment="1">
      <alignment/>
    </xf>
    <xf numFmtId="208" fontId="6" fillId="0" borderId="117" xfId="46" applyNumberFormat="1" applyFont="1" applyFill="1" applyBorder="1" applyAlignment="1">
      <alignment/>
    </xf>
    <xf numFmtId="208" fontId="6" fillId="0" borderId="118" xfId="46" applyNumberFormat="1" applyFont="1" applyFill="1" applyBorder="1" applyAlignment="1">
      <alignment/>
    </xf>
    <xf numFmtId="208" fontId="6" fillId="25" borderId="123" xfId="0" applyNumberFormat="1" applyFont="1" applyFill="1" applyBorder="1" applyAlignment="1">
      <alignment/>
    </xf>
    <xf numFmtId="0" fontId="14" fillId="0" borderId="129" xfId="0" applyFont="1" applyBorder="1" applyAlignment="1">
      <alignment horizontal="center" vertical="center" wrapText="1"/>
    </xf>
    <xf numFmtId="0" fontId="14" fillId="0" borderId="130" xfId="0" applyFont="1" applyBorder="1" applyAlignment="1">
      <alignment horizontal="center" vertical="center" wrapText="1"/>
    </xf>
    <xf numFmtId="0" fontId="14" fillId="0" borderId="133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34" xfId="0" applyFont="1" applyBorder="1" applyAlignment="1">
      <alignment horizontal="center" vertical="center" wrapText="1"/>
    </xf>
    <xf numFmtId="0" fontId="14" fillId="0" borderId="132" xfId="0" applyFont="1" applyBorder="1" applyAlignment="1">
      <alignment horizontal="center" vertical="center" wrapText="1"/>
    </xf>
    <xf numFmtId="173" fontId="17" fillId="0" borderId="0" xfId="55" applyFont="1" applyAlignment="1" applyProtection="1">
      <alignment vertical="top"/>
      <protection/>
    </xf>
    <xf numFmtId="173" fontId="17" fillId="0" borderId="0" xfId="55" applyFont="1" applyAlignment="1">
      <alignment vertical="top"/>
      <protection/>
    </xf>
    <xf numFmtId="173" fontId="13" fillId="22" borderId="37" xfId="55" applyFont="1" applyFill="1" applyBorder="1" applyAlignment="1" applyProtection="1">
      <alignment vertical="center"/>
      <protection/>
    </xf>
    <xf numFmtId="200" fontId="6" fillId="0" borderId="135" xfId="61" applyNumberFormat="1" applyFont="1" applyFill="1" applyBorder="1">
      <alignment/>
      <protection/>
    </xf>
    <xf numFmtId="3" fontId="6" fillId="0" borderId="63" xfId="61" applyNumberFormat="1" applyFont="1" applyFill="1" applyBorder="1" applyProtection="1">
      <alignment/>
      <protection locked="0"/>
    </xf>
    <xf numFmtId="200" fontId="6" fillId="0" borderId="32" xfId="61" applyNumberFormat="1" applyFont="1" applyFill="1" applyBorder="1">
      <alignment/>
      <protection/>
    </xf>
    <xf numFmtId="3" fontId="6" fillId="0" borderId="89" xfId="61" applyNumberFormat="1" applyFont="1" applyFill="1" applyBorder="1" applyProtection="1">
      <alignment/>
      <protection locked="0"/>
    </xf>
    <xf numFmtId="200" fontId="6" fillId="0" borderId="135" xfId="61" applyNumberFormat="1" applyFont="1" applyFill="1" applyBorder="1" applyProtection="1">
      <alignment/>
      <protection/>
    </xf>
    <xf numFmtId="3" fontId="6" fillId="0" borderId="72" xfId="61" applyNumberFormat="1" applyFont="1" applyFill="1" applyBorder="1" applyProtection="1">
      <alignment/>
      <protection locked="0"/>
    </xf>
    <xf numFmtId="0" fontId="6" fillId="0" borderId="136" xfId="62" applyFont="1" applyFill="1" applyBorder="1" applyAlignment="1" applyProtection="1">
      <alignment/>
      <protection locked="0"/>
    </xf>
    <xf numFmtId="0" fontId="6" fillId="0" borderId="93" xfId="62" applyFont="1" applyFill="1" applyBorder="1" applyAlignment="1" applyProtection="1">
      <alignment/>
      <protection locked="0"/>
    </xf>
    <xf numFmtId="0" fontId="6" fillId="0" borderId="72" xfId="62" applyFont="1" applyFill="1" applyBorder="1" applyAlignment="1" applyProtection="1">
      <alignment/>
      <protection locked="0"/>
    </xf>
    <xf numFmtId="0" fontId="6" fillId="0" borderId="110" xfId="62" applyFont="1" applyFill="1" applyBorder="1" applyAlignment="1" applyProtection="1">
      <alignment/>
      <protection locked="0"/>
    </xf>
    <xf numFmtId="0" fontId="6" fillId="0" borderId="65" xfId="62" applyFont="1" applyFill="1" applyBorder="1" applyAlignment="1" applyProtection="1">
      <alignment/>
      <protection locked="0"/>
    </xf>
    <xf numFmtId="3" fontId="6" fillId="0" borderId="136" xfId="65" applyNumberFormat="1" applyFont="1" applyFill="1" applyBorder="1" applyAlignment="1" applyProtection="1">
      <alignment/>
      <protection locked="0"/>
    </xf>
    <xf numFmtId="3" fontId="6" fillId="0" borderId="85" xfId="65" applyNumberFormat="1" applyFont="1" applyFill="1" applyBorder="1" applyAlignment="1" applyProtection="1">
      <alignment/>
      <protection locked="0"/>
    </xf>
    <xf numFmtId="200" fontId="6" fillId="25" borderId="135" xfId="65" applyNumberFormat="1" applyFont="1" applyFill="1" applyBorder="1" applyAlignment="1">
      <alignment/>
      <protection/>
    </xf>
    <xf numFmtId="200" fontId="6" fillId="25" borderId="137" xfId="65" applyNumberFormat="1" applyFont="1" applyFill="1" applyBorder="1" applyAlignment="1">
      <alignment/>
      <protection/>
    </xf>
    <xf numFmtId="0" fontId="18" fillId="0" borderId="26" xfId="65" applyFont="1" applyFill="1" applyBorder="1" applyAlignment="1" applyProtection="1">
      <alignment horizontal="centerContinuous" vertical="center" wrapText="1"/>
      <protection/>
    </xf>
    <xf numFmtId="0" fontId="6" fillId="0" borderId="27" xfId="65" applyFont="1" applyFill="1" applyBorder="1" applyAlignment="1" applyProtection="1">
      <alignment horizontal="centerContinuous" vertical="center" wrapText="1"/>
      <protection/>
    </xf>
    <xf numFmtId="200" fontId="6" fillId="25" borderId="87" xfId="65" applyNumberFormat="1" applyFont="1" applyFill="1" applyBorder="1" applyAlignment="1">
      <alignment/>
      <protection/>
    </xf>
    <xf numFmtId="200" fontId="6" fillId="25" borderId="138" xfId="65" applyNumberFormat="1" applyFont="1" applyFill="1" applyBorder="1" applyAlignment="1">
      <alignment/>
      <protection/>
    </xf>
    <xf numFmtId="0" fontId="19" fillId="0" borderId="139" xfId="65" applyFont="1" applyFill="1" applyBorder="1" applyAlignment="1" applyProtection="1">
      <alignment horizontal="centerContinuous" vertical="center" wrapText="1"/>
      <protection/>
    </xf>
    <xf numFmtId="200" fontId="6" fillId="25" borderId="113" xfId="65" applyNumberFormat="1" applyFont="1" applyFill="1" applyBorder="1" applyAlignment="1">
      <alignment/>
      <protection/>
    </xf>
    <xf numFmtId="0" fontId="19" fillId="0" borderId="140" xfId="65" applyFont="1" applyFill="1" applyBorder="1" applyAlignment="1" applyProtection="1">
      <alignment horizontal="centerContinuous" vertical="center" wrapText="1"/>
      <protection/>
    </xf>
    <xf numFmtId="200" fontId="6" fillId="25" borderId="141" xfId="65" applyNumberFormat="1" applyFont="1" applyFill="1" applyBorder="1" applyAlignment="1">
      <alignment/>
      <protection/>
    </xf>
    <xf numFmtId="200" fontId="0" fillId="0" borderId="142" xfId="0" applyNumberFormat="1" applyBorder="1" applyAlignment="1">
      <alignment/>
    </xf>
    <xf numFmtId="200" fontId="6" fillId="0" borderId="122" xfId="61" applyNumberFormat="1" applyFont="1" applyFill="1" applyBorder="1" applyProtection="1">
      <alignment/>
      <protection/>
    </xf>
    <xf numFmtId="200" fontId="6" fillId="0" borderId="143" xfId="61" applyNumberFormat="1" applyFont="1" applyFill="1" applyBorder="1" applyProtection="1">
      <alignment/>
      <protection/>
    </xf>
    <xf numFmtId="200" fontId="6" fillId="0" borderId="118" xfId="61" applyNumberFormat="1" applyFont="1" applyFill="1" applyBorder="1" applyProtection="1">
      <alignment/>
      <protection/>
    </xf>
    <xf numFmtId="200" fontId="6" fillId="25" borderId="123" xfId="62" applyNumberFormat="1" applyFont="1" applyFill="1" applyBorder="1" applyAlignment="1">
      <alignment/>
      <protection/>
    </xf>
    <xf numFmtId="200" fontId="6" fillId="25" borderId="88" xfId="66" applyNumberFormat="1" applyFont="1" applyFill="1" applyBorder="1">
      <alignment/>
      <protection/>
    </xf>
    <xf numFmtId="200" fontId="6" fillId="25" borderId="95" xfId="66" applyNumberFormat="1" applyFont="1" applyFill="1" applyBorder="1">
      <alignment/>
      <protection/>
    </xf>
    <xf numFmtId="0" fontId="20" fillId="0" borderId="105" xfId="66" applyFont="1" applyFill="1" applyBorder="1" applyAlignment="1" applyProtection="1">
      <alignment horizontal="center"/>
      <protection/>
    </xf>
    <xf numFmtId="200" fontId="6" fillId="25" borderId="84" xfId="66" applyNumberFormat="1" applyFont="1" applyFill="1" applyBorder="1">
      <alignment/>
      <protection/>
    </xf>
    <xf numFmtId="173" fontId="13" fillId="0" borderId="0" xfId="55" applyFont="1" applyFill="1" applyBorder="1" applyAlignment="1" applyProtection="1">
      <alignment vertical="center"/>
      <protection locked="0"/>
    </xf>
    <xf numFmtId="173" fontId="41" fillId="25" borderId="0" xfId="55" applyFont="1" applyFill="1" applyAlignment="1" applyProtection="1">
      <alignment vertical="center"/>
      <protection/>
    </xf>
    <xf numFmtId="173" fontId="17" fillId="25" borderId="0" xfId="55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52" fillId="25" borderId="0" xfId="55" applyFont="1" applyFill="1" applyAlignment="1" applyProtection="1">
      <alignment vertical="center"/>
      <protection/>
    </xf>
    <xf numFmtId="173" fontId="13" fillId="25" borderId="0" xfId="55" applyFont="1" applyFill="1" applyAlignment="1" applyProtection="1">
      <alignment vertical="center"/>
      <protection/>
    </xf>
    <xf numFmtId="173" fontId="13" fillId="25" borderId="0" xfId="55" applyFont="1" applyFill="1" applyAlignment="1" applyProtection="1">
      <alignment horizontal="left" vertical="center"/>
      <protection/>
    </xf>
    <xf numFmtId="173" fontId="22" fillId="25" borderId="0" xfId="55" applyFont="1" applyFill="1" applyAlignment="1" applyProtection="1">
      <alignment horizontal="left" vertical="center"/>
      <protection/>
    </xf>
    <xf numFmtId="173" fontId="17" fillId="25" borderId="0" xfId="55" applyFont="1" applyFill="1" applyAlignment="1" applyProtection="1">
      <alignment horizontal="left" vertical="center"/>
      <protection/>
    </xf>
    <xf numFmtId="173" fontId="22" fillId="25" borderId="0" xfId="55" applyFont="1" applyFill="1" applyAlignment="1" applyProtection="1">
      <alignment vertical="center"/>
      <protection/>
    </xf>
    <xf numFmtId="173" fontId="67" fillId="25" borderId="0" xfId="55" applyFont="1" applyFill="1" applyAlignment="1" applyProtection="1">
      <alignment vertical="center"/>
      <protection/>
    </xf>
    <xf numFmtId="173" fontId="13" fillId="25" borderId="0" xfId="55" applyFont="1" applyFill="1" applyBorder="1" applyAlignment="1" applyProtection="1">
      <alignment horizontal="left" vertical="center"/>
      <protection/>
    </xf>
    <xf numFmtId="173" fontId="13" fillId="25" borderId="0" xfId="55" applyFont="1" applyFill="1" applyBorder="1" applyAlignment="1" applyProtection="1">
      <alignment vertical="center"/>
      <protection/>
    </xf>
    <xf numFmtId="0" fontId="67" fillId="25" borderId="0" xfId="59" applyFont="1" applyFill="1" applyAlignment="1" applyProtection="1">
      <alignment vertical="center"/>
      <protection/>
    </xf>
    <xf numFmtId="0" fontId="13" fillId="25" borderId="0" xfId="59" applyFont="1" applyFill="1" applyAlignment="1" applyProtection="1">
      <alignment vertical="center"/>
      <protection/>
    </xf>
    <xf numFmtId="173" fontId="17" fillId="25" borderId="0" xfId="55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22" fillId="25" borderId="0" xfId="55" applyFont="1" applyFill="1" applyBorder="1" applyAlignment="1" applyProtection="1">
      <alignment horizontal="left" vertical="center"/>
      <protection/>
    </xf>
    <xf numFmtId="173" fontId="17" fillId="25" borderId="0" xfId="55" applyFont="1" applyFill="1" applyBorder="1" applyAlignment="1" applyProtection="1">
      <alignment horizontal="left" vertical="center"/>
      <protection/>
    </xf>
    <xf numFmtId="173" fontId="22" fillId="25" borderId="0" xfId="55" applyFont="1" applyFill="1" applyBorder="1" applyAlignment="1" applyProtection="1">
      <alignment vertical="center"/>
      <protection/>
    </xf>
    <xf numFmtId="173" fontId="17" fillId="25" borderId="125" xfId="55" applyFont="1" applyFill="1" applyBorder="1" applyAlignment="1" applyProtection="1">
      <alignment vertical="center"/>
      <protection/>
    </xf>
    <xf numFmtId="173" fontId="55" fillId="25" borderId="125" xfId="55" applyFont="1" applyFill="1" applyBorder="1" applyAlignment="1" applyProtection="1">
      <alignment vertical="center"/>
      <protection/>
    </xf>
    <xf numFmtId="173" fontId="67" fillId="25" borderId="85" xfId="55" applyFont="1" applyFill="1" applyBorder="1" applyAlignment="1" applyProtection="1">
      <alignment vertical="center"/>
      <protection/>
    </xf>
    <xf numFmtId="173" fontId="13" fillId="25" borderId="85" xfId="55" applyFont="1" applyFill="1" applyBorder="1" applyAlignment="1" applyProtection="1">
      <alignment vertical="center"/>
      <protection/>
    </xf>
    <xf numFmtId="173" fontId="41" fillId="25" borderId="125" xfId="55" applyFont="1" applyFill="1" applyBorder="1" applyAlignment="1" applyProtection="1">
      <alignment vertical="center"/>
      <protection/>
    </xf>
    <xf numFmtId="173" fontId="13" fillId="0" borderId="0" xfId="55" applyFont="1" applyFill="1" applyBorder="1" applyAlignment="1" applyProtection="1">
      <alignment vertical="center"/>
      <protection/>
    </xf>
    <xf numFmtId="173" fontId="41" fillId="0" borderId="0" xfId="55" applyBorder="1" applyAlignment="1">
      <alignment vertical="center"/>
      <protection/>
    </xf>
    <xf numFmtId="173" fontId="17" fillId="22" borderId="37" xfId="55" applyFont="1" applyFill="1" applyBorder="1" applyAlignment="1" applyProtection="1">
      <alignment vertical="center"/>
      <protection/>
    </xf>
    <xf numFmtId="173" fontId="41" fillId="0" borderId="0" xfId="55" applyAlignment="1" applyProtection="1">
      <alignment vertical="center"/>
      <protection locked="0"/>
    </xf>
    <xf numFmtId="198" fontId="41" fillId="25" borderId="144" xfId="55" applyNumberFormat="1" applyFont="1" applyFill="1" applyBorder="1" applyAlignment="1" applyProtection="1">
      <alignment vertical="center"/>
      <protection/>
    </xf>
    <xf numFmtId="198" fontId="41" fillId="25" borderId="145" xfId="55" applyNumberFormat="1" applyFont="1" applyFill="1" applyBorder="1" applyAlignment="1" applyProtection="1">
      <alignment vertical="center"/>
      <protection/>
    </xf>
    <xf numFmtId="173" fontId="41" fillId="25" borderId="144" xfId="55" applyFill="1" applyBorder="1" applyAlignment="1" applyProtection="1">
      <alignment vertical="center"/>
      <protection/>
    </xf>
    <xf numFmtId="173" fontId="22" fillId="16" borderId="37" xfId="55" applyFont="1" applyFill="1" applyBorder="1" applyAlignment="1" applyProtection="1">
      <alignment horizontal="center" vertical="center"/>
      <protection/>
    </xf>
    <xf numFmtId="0" fontId="22" fillId="25" borderId="0" xfId="0" applyFont="1" applyFill="1" applyAlignment="1" applyProtection="1">
      <alignment/>
      <protection/>
    </xf>
    <xf numFmtId="173" fontId="13" fillId="25" borderId="144" xfId="55" applyFont="1" applyFill="1" applyBorder="1" applyAlignment="1" applyProtection="1">
      <alignment vertical="center"/>
      <protection/>
    </xf>
    <xf numFmtId="0" fontId="13" fillId="25" borderId="144" xfId="59" applyFont="1" applyFill="1" applyBorder="1" applyAlignment="1" applyProtection="1">
      <alignment vertical="center"/>
      <protection/>
    </xf>
    <xf numFmtId="173" fontId="13" fillId="25" borderId="64" xfId="55" applyFont="1" applyFill="1" applyBorder="1" applyAlignment="1" applyProtection="1">
      <alignment vertical="center"/>
      <protection/>
    </xf>
    <xf numFmtId="1" fontId="13" fillId="22" borderId="37" xfId="55" applyNumberFormat="1" applyFont="1" applyFill="1" applyBorder="1" applyAlignment="1" applyProtection="1">
      <alignment vertical="center"/>
      <protection locked="0"/>
    </xf>
    <xf numFmtId="1" fontId="13" fillId="22" borderId="37" xfId="59" applyNumberFormat="1" applyFont="1" applyFill="1" applyBorder="1" applyAlignment="1" applyProtection="1">
      <alignment vertical="center"/>
      <protection locked="0"/>
    </xf>
    <xf numFmtId="173" fontId="22" fillId="25" borderId="0" xfId="55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173" fontId="41" fillId="25" borderId="64" xfId="55" applyFill="1" applyBorder="1" applyAlignment="1" applyProtection="1">
      <alignment vertical="center"/>
      <protection/>
    </xf>
    <xf numFmtId="49" fontId="17" fillId="25" borderId="24" xfId="52" applyNumberFormat="1" applyFont="1" applyFill="1" applyBorder="1" applyAlignment="1" applyProtection="1">
      <alignment horizontal="left" vertical="center"/>
      <protection locked="0"/>
    </xf>
    <xf numFmtId="49" fontId="17" fillId="25" borderId="0" xfId="52" applyNumberFormat="1" applyFont="1" applyFill="1" applyBorder="1" applyAlignment="1" applyProtection="1">
      <alignment horizontal="left" vertical="center"/>
      <protection locked="0"/>
    </xf>
    <xf numFmtId="0" fontId="59" fillId="0" borderId="0" xfId="55" applyNumberFormat="1" applyFont="1" applyBorder="1" applyAlignment="1">
      <alignment horizontal="center" vertical="center" wrapText="1"/>
      <protection/>
    </xf>
    <xf numFmtId="173" fontId="68" fillId="25" borderId="144" xfId="55" applyFont="1" applyFill="1" applyBorder="1" applyAlignment="1" applyProtection="1">
      <alignment horizontal="center" vertical="center"/>
      <protection/>
    </xf>
    <xf numFmtId="1" fontId="41" fillId="0" borderId="0" xfId="55" applyNumberFormat="1" applyAlignment="1" applyProtection="1">
      <alignment vertical="center"/>
      <protection/>
    </xf>
    <xf numFmtId="0" fontId="17" fillId="0" borderId="0" xfId="59" applyNumberFormat="1" applyAlignment="1" applyProtection="1">
      <alignment vertical="center"/>
      <protection locked="0"/>
    </xf>
    <xf numFmtId="0" fontId="22" fillId="25" borderId="0" xfId="0" applyFont="1" applyFill="1" applyBorder="1" applyAlignment="1" applyProtection="1">
      <alignment/>
      <protection/>
    </xf>
    <xf numFmtId="0" fontId="13" fillId="25" borderId="0" xfId="0" applyFont="1" applyFill="1" applyBorder="1" applyAlignment="1" applyProtection="1">
      <alignment/>
      <protection/>
    </xf>
    <xf numFmtId="0" fontId="0" fillId="25" borderId="144" xfId="0" applyFill="1" applyBorder="1" applyAlignment="1" applyProtection="1">
      <alignment vertical="center"/>
      <protection/>
    </xf>
    <xf numFmtId="1" fontId="13" fillId="22" borderId="37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3" fillId="22" borderId="37" xfId="55" applyNumberFormat="1" applyFont="1" applyFill="1" applyBorder="1" applyAlignment="1" applyProtection="1">
      <alignment vertical="center"/>
      <protection locked="0"/>
    </xf>
    <xf numFmtId="173" fontId="59" fillId="25" borderId="144" xfId="55" applyFont="1" applyFill="1" applyBorder="1" applyAlignment="1" applyProtection="1">
      <alignment horizontal="center" vertical="center"/>
      <protection/>
    </xf>
    <xf numFmtId="0" fontId="0" fillId="25" borderId="0" xfId="0" applyFill="1" applyAlignment="1">
      <alignment/>
    </xf>
    <xf numFmtId="0" fontId="0" fillId="25" borderId="0" xfId="0" applyFill="1" applyBorder="1" applyAlignment="1">
      <alignment/>
    </xf>
    <xf numFmtId="0" fontId="75" fillId="25" borderId="0" xfId="0" applyFont="1" applyFill="1" applyBorder="1" applyAlignment="1">
      <alignment horizontal="center"/>
    </xf>
    <xf numFmtId="0" fontId="76" fillId="25" borderId="0" xfId="0" applyFont="1" applyFill="1" applyBorder="1" applyAlignment="1">
      <alignment horizontal="center"/>
    </xf>
    <xf numFmtId="198" fontId="0" fillId="25" borderId="0" xfId="0" applyNumberFormat="1" applyFill="1" applyAlignment="1">
      <alignment/>
    </xf>
    <xf numFmtId="0" fontId="77" fillId="25" borderId="0" xfId="0" applyFont="1" applyFill="1" applyAlignment="1">
      <alignment/>
    </xf>
    <xf numFmtId="198" fontId="0" fillId="25" borderId="0" xfId="0" applyNumberFormat="1" applyFill="1" applyBorder="1" applyAlignment="1">
      <alignment/>
    </xf>
    <xf numFmtId="0" fontId="78" fillId="25" borderId="0" xfId="0" applyFont="1" applyFill="1" applyBorder="1" applyAlignment="1">
      <alignment horizontal="right"/>
    </xf>
    <xf numFmtId="0" fontId="0" fillId="25" borderId="0" xfId="0" applyFill="1" applyBorder="1" applyAlignment="1">
      <alignment/>
    </xf>
    <xf numFmtId="0" fontId="69" fillId="25" borderId="0" xfId="0" applyFont="1" applyFill="1" applyAlignment="1">
      <alignment/>
    </xf>
    <xf numFmtId="0" fontId="25" fillId="25" borderId="37" xfId="0" applyFont="1" applyFill="1" applyBorder="1" applyAlignment="1">
      <alignment horizontal="center" wrapText="1"/>
    </xf>
    <xf numFmtId="0" fontId="25" fillId="25" borderId="37" xfId="0" applyFont="1" applyFill="1" applyBorder="1" applyAlignment="1">
      <alignment horizontal="center"/>
    </xf>
    <xf numFmtId="0" fontId="25" fillId="25" borderId="88" xfId="0" applyFont="1" applyFill="1" applyBorder="1" applyAlignment="1">
      <alignment horizontal="center" wrapText="1"/>
    </xf>
    <xf numFmtId="0" fontId="25" fillId="25" borderId="84" xfId="0" applyFont="1" applyFill="1" applyBorder="1" applyAlignment="1">
      <alignment horizontal="center"/>
    </xf>
    <xf numFmtId="0" fontId="7" fillId="25" borderId="48" xfId="0" applyFont="1" applyFill="1" applyBorder="1" applyAlignment="1">
      <alignment horizontal="left"/>
    </xf>
    <xf numFmtId="0" fontId="25" fillId="25" borderId="63" xfId="0" applyFont="1" applyFill="1" applyBorder="1" applyAlignment="1">
      <alignment horizontal="right"/>
    </xf>
    <xf numFmtId="0" fontId="7" fillId="25" borderId="69" xfId="0" applyFont="1" applyFill="1" applyBorder="1" applyAlignment="1">
      <alignment horizontal="left"/>
    </xf>
    <xf numFmtId="173" fontId="8" fillId="0" borderId="0" xfId="55" applyFont="1" applyFill="1" applyBorder="1" applyAlignment="1" applyProtection="1">
      <alignment horizontal="center" vertical="center"/>
      <protection/>
    </xf>
    <xf numFmtId="0" fontId="0" fillId="22" borderId="37" xfId="0" applyFill="1" applyBorder="1" applyAlignment="1" applyProtection="1">
      <alignment vertical="center"/>
      <protection/>
    </xf>
    <xf numFmtId="3" fontId="0" fillId="0" borderId="121" xfId="0" applyNumberFormat="1" applyBorder="1" applyAlignment="1" applyProtection="1">
      <alignment/>
      <protection locked="0"/>
    </xf>
    <xf numFmtId="3" fontId="0" fillId="0" borderId="76" xfId="0" applyNumberFormat="1" applyBorder="1" applyAlignment="1" applyProtection="1">
      <alignment/>
      <protection locked="0"/>
    </xf>
    <xf numFmtId="3" fontId="0" fillId="0" borderId="146" xfId="0" applyNumberFormat="1" applyBorder="1" applyAlignment="1" applyProtection="1">
      <alignment/>
      <protection locked="0"/>
    </xf>
    <xf numFmtId="173" fontId="22" fillId="25" borderId="0" xfId="55" applyFont="1" applyFill="1" applyBorder="1" applyAlignment="1" applyProtection="1">
      <alignment vertical="center" wrapText="1"/>
      <protection/>
    </xf>
    <xf numFmtId="0" fontId="8" fillId="25" borderId="0" xfId="0" applyFont="1" applyFill="1" applyAlignment="1" applyProtection="1">
      <alignment horizontal="center" vertical="top"/>
      <protection/>
    </xf>
    <xf numFmtId="173" fontId="17" fillId="25" borderId="0" xfId="55" applyFont="1" applyFill="1" applyBorder="1" applyAlignment="1" applyProtection="1">
      <alignment vertical="top"/>
      <protection/>
    </xf>
    <xf numFmtId="173" fontId="79" fillId="25" borderId="0" xfId="55" applyFont="1" applyFill="1" applyBorder="1" applyAlignment="1" applyProtection="1">
      <alignment vertical="center"/>
      <protection/>
    </xf>
    <xf numFmtId="173" fontId="13" fillId="22" borderId="55" xfId="55" applyFont="1" applyFill="1" applyBorder="1" applyAlignment="1" applyProtection="1">
      <alignment vertical="center"/>
      <protection/>
    </xf>
    <xf numFmtId="198" fontId="49" fillId="0" borderId="0" xfId="55" applyNumberFormat="1" applyFont="1" applyAlignment="1" applyProtection="1">
      <alignment vertical="center"/>
      <protection/>
    </xf>
    <xf numFmtId="198" fontId="17" fillId="0" borderId="0" xfId="55" applyNumberFormat="1" applyFont="1" applyAlignment="1" applyProtection="1">
      <alignment vertical="center"/>
      <protection/>
    </xf>
    <xf numFmtId="1" fontId="0" fillId="25" borderId="0" xfId="0" applyNumberFormat="1" applyFill="1" applyBorder="1" applyAlignment="1" applyProtection="1">
      <alignment/>
      <protection/>
    </xf>
    <xf numFmtId="173" fontId="41" fillId="25" borderId="0" xfId="55" applyFill="1" applyAlignment="1" applyProtection="1">
      <alignment vertical="center"/>
      <protection/>
    </xf>
    <xf numFmtId="0" fontId="17" fillId="25" borderId="0" xfId="59" applyFill="1" applyAlignment="1" applyProtection="1">
      <alignment vertical="center"/>
      <protection/>
    </xf>
    <xf numFmtId="173" fontId="68" fillId="25" borderId="0" xfId="55" applyFont="1" applyFill="1" applyAlignment="1" applyProtection="1">
      <alignment vertical="center"/>
      <protection/>
    </xf>
    <xf numFmtId="173" fontId="41" fillId="25" borderId="0" xfId="55" applyFill="1" applyAlignment="1" applyProtection="1">
      <alignment vertical="center"/>
      <protection locked="0"/>
    </xf>
    <xf numFmtId="1" fontId="41" fillId="0" borderId="0" xfId="55" applyNumberFormat="1" applyAlignment="1" applyProtection="1">
      <alignment vertical="center"/>
      <protection locked="0"/>
    </xf>
    <xf numFmtId="0" fontId="17" fillId="25" borderId="0" xfId="55" applyNumberFormat="1" applyFont="1" applyFill="1" applyBorder="1" applyAlignment="1" applyProtection="1">
      <alignment vertical="center"/>
      <protection/>
    </xf>
    <xf numFmtId="173" fontId="52" fillId="16" borderId="147" xfId="58" applyNumberFormat="1" applyFont="1" applyFill="1" applyBorder="1" applyAlignment="1" applyProtection="1">
      <alignment horizontal="right" vertical="center"/>
      <protection/>
    </xf>
    <xf numFmtId="173" fontId="17" fillId="16" borderId="148" xfId="58" applyNumberFormat="1" applyFont="1" applyFill="1" applyBorder="1" applyAlignment="1" applyProtection="1">
      <alignment vertical="center"/>
      <protection/>
    </xf>
    <xf numFmtId="0" fontId="97" fillId="16" borderId="148" xfId="54" applyFont="1" applyFill="1" applyBorder="1" applyAlignment="1">
      <alignment horizontal="center" readingOrder="1"/>
      <protection/>
    </xf>
    <xf numFmtId="173" fontId="17" fillId="16" borderId="97" xfId="58" applyNumberFormat="1" applyFont="1" applyFill="1" applyBorder="1" applyAlignment="1" applyProtection="1">
      <alignment vertical="center"/>
      <protection/>
    </xf>
    <xf numFmtId="173" fontId="41" fillId="0" borderId="0" xfId="58" applyNumberFormat="1" applyAlignment="1" applyProtection="1">
      <alignment vertical="center"/>
      <protection hidden="1"/>
    </xf>
    <xf numFmtId="173" fontId="41" fillId="0" borderId="0" xfId="58" applyNumberFormat="1" applyAlignment="1" applyProtection="1">
      <alignment vertical="center"/>
      <protection/>
    </xf>
    <xf numFmtId="173" fontId="52" fillId="16" borderId="24" xfId="58" applyNumberFormat="1" applyFont="1" applyFill="1" applyBorder="1" applyAlignment="1" applyProtection="1">
      <alignment horizontal="right" vertical="center"/>
      <protection/>
    </xf>
    <xf numFmtId="173" fontId="17" fillId="16" borderId="0" xfId="58" applyNumberFormat="1" applyFont="1" applyFill="1" applyBorder="1" applyAlignment="1" applyProtection="1">
      <alignment vertical="center"/>
      <protection/>
    </xf>
    <xf numFmtId="0" fontId="97" fillId="16" borderId="0" xfId="54" applyFont="1" applyFill="1" applyBorder="1" applyAlignment="1">
      <alignment horizontal="left" readingOrder="1"/>
      <protection/>
    </xf>
    <xf numFmtId="173" fontId="17" fillId="16" borderId="144" xfId="58" applyNumberFormat="1" applyFont="1" applyFill="1" applyBorder="1" applyAlignment="1" applyProtection="1">
      <alignment vertical="center"/>
      <protection/>
    </xf>
    <xf numFmtId="0" fontId="97" fillId="16" borderId="0" xfId="54" applyFont="1" applyFill="1" applyBorder="1" applyAlignment="1">
      <alignment horizontal="left"/>
      <protection/>
    </xf>
    <xf numFmtId="173" fontId="41" fillId="16" borderId="0" xfId="58" applyNumberFormat="1" applyFill="1" applyBorder="1" applyAlignment="1" applyProtection="1">
      <alignment vertical="center"/>
      <protection/>
    </xf>
    <xf numFmtId="173" fontId="52" fillId="16" borderId="63" xfId="58" applyNumberFormat="1" applyFont="1" applyFill="1" applyBorder="1" applyAlignment="1" applyProtection="1">
      <alignment horizontal="right" vertical="top"/>
      <protection/>
    </xf>
    <xf numFmtId="0" fontId="97" fillId="16" borderId="85" xfId="54" applyFont="1" applyFill="1" applyBorder="1" applyAlignment="1">
      <alignment vertical="top"/>
      <protection/>
    </xf>
    <xf numFmtId="0" fontId="97" fillId="16" borderId="85" xfId="54" applyFont="1" applyFill="1" applyBorder="1" applyAlignment="1">
      <alignment horizontal="left" vertical="top"/>
      <protection/>
    </xf>
    <xf numFmtId="173" fontId="17" fillId="16" borderId="85" xfId="58" applyNumberFormat="1" applyFont="1" applyFill="1" applyBorder="1" applyAlignment="1" applyProtection="1">
      <alignment vertical="top"/>
      <protection/>
    </xf>
    <xf numFmtId="173" fontId="17" fillId="16" borderId="64" xfId="58" applyNumberFormat="1" applyFont="1" applyFill="1" applyBorder="1" applyAlignment="1" applyProtection="1">
      <alignment vertical="top"/>
      <protection/>
    </xf>
    <xf numFmtId="173" fontId="41" fillId="0" borderId="0" xfId="58" applyNumberFormat="1" applyAlignment="1" applyProtection="1">
      <alignment vertical="top"/>
      <protection/>
    </xf>
    <xf numFmtId="173" fontId="52" fillId="0" borderId="0" xfId="58" applyNumberFormat="1" applyFont="1" applyAlignment="1" applyProtection="1">
      <alignment horizontal="right" vertical="center"/>
      <protection/>
    </xf>
    <xf numFmtId="173" fontId="17" fillId="0" borderId="0" xfId="58" applyNumberFormat="1" applyFont="1" applyAlignment="1" applyProtection="1">
      <alignment vertical="center"/>
      <protection/>
    </xf>
    <xf numFmtId="173" fontId="52" fillId="0" borderId="0" xfId="58" applyNumberFormat="1" applyFont="1" applyAlignment="1" applyProtection="1">
      <alignment vertical="center"/>
      <protection/>
    </xf>
    <xf numFmtId="173" fontId="55" fillId="0" borderId="0" xfId="58" applyNumberFormat="1" applyFont="1" applyAlignment="1" applyProtection="1">
      <alignment horizontal="left" vertical="center"/>
      <protection/>
    </xf>
    <xf numFmtId="173" fontId="43" fillId="0" borderId="0" xfId="58" applyNumberFormat="1" applyFont="1" applyAlignment="1" applyProtection="1">
      <alignment vertical="center"/>
      <protection/>
    </xf>
    <xf numFmtId="173" fontId="55" fillId="0" borderId="0" xfId="58" applyNumberFormat="1" applyFont="1" applyAlignment="1" applyProtection="1">
      <alignment vertical="center"/>
      <protection/>
    </xf>
    <xf numFmtId="173" fontId="42" fillId="0" borderId="0" xfId="58" applyNumberFormat="1" applyFont="1" applyAlignment="1" applyProtection="1">
      <alignment vertical="center"/>
      <protection/>
    </xf>
    <xf numFmtId="173" fontId="44" fillId="0" borderId="0" xfId="58" applyNumberFormat="1" applyFont="1" applyFill="1" applyBorder="1" applyAlignment="1" applyProtection="1">
      <alignment vertical="center"/>
      <protection/>
    </xf>
    <xf numFmtId="173" fontId="43" fillId="0" borderId="0" xfId="58" applyNumberFormat="1" applyFont="1" applyFill="1" applyBorder="1" applyAlignment="1" applyProtection="1">
      <alignment vertical="center"/>
      <protection/>
    </xf>
    <xf numFmtId="173" fontId="44" fillId="0" borderId="0" xfId="58" applyNumberFormat="1" applyFont="1" applyFill="1" applyBorder="1" applyAlignment="1" applyProtection="1">
      <alignment horizontal="center" vertical="center" wrapText="1"/>
      <protection/>
    </xf>
    <xf numFmtId="173" fontId="52" fillId="0" borderId="0" xfId="58" applyNumberFormat="1" applyFont="1" applyBorder="1" applyAlignment="1" applyProtection="1">
      <alignment horizontal="right" vertical="center"/>
      <protection/>
    </xf>
    <xf numFmtId="173" fontId="44" fillId="26" borderId="48" xfId="58" applyNumberFormat="1" applyFont="1" applyFill="1" applyBorder="1" applyAlignment="1" applyProtection="1">
      <alignment horizontal="left" vertical="center"/>
      <protection/>
    </xf>
    <xf numFmtId="173" fontId="44" fillId="26" borderId="93" xfId="58" applyNumberFormat="1" applyFont="1" applyFill="1" applyBorder="1" applyAlignment="1" applyProtection="1">
      <alignment horizontal="left" vertical="center"/>
      <protection/>
    </xf>
    <xf numFmtId="173" fontId="44" fillId="26" borderId="65" xfId="58" applyNumberFormat="1" applyFont="1" applyFill="1" applyBorder="1" applyAlignment="1" applyProtection="1">
      <alignment vertical="center"/>
      <protection/>
    </xf>
    <xf numFmtId="173" fontId="44" fillId="0" borderId="0" xfId="58" applyNumberFormat="1" applyFont="1" applyFill="1" applyBorder="1" applyAlignment="1" applyProtection="1">
      <alignment horizontal="left" vertical="center"/>
      <protection/>
    </xf>
    <xf numFmtId="0" fontId="24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52" fillId="0" borderId="147" xfId="58" applyNumberFormat="1" applyFont="1" applyBorder="1" applyAlignment="1" applyProtection="1">
      <alignment horizontal="right" vertical="center"/>
      <protection/>
    </xf>
    <xf numFmtId="173" fontId="13" fillId="0" borderId="148" xfId="58" applyNumberFormat="1" applyFont="1" applyBorder="1" applyAlignment="1" applyProtection="1">
      <alignment vertical="center"/>
      <protection/>
    </xf>
    <xf numFmtId="173" fontId="17" fillId="0" borderId="148" xfId="58" applyNumberFormat="1" applyFont="1" applyBorder="1" applyAlignment="1" applyProtection="1">
      <alignment vertical="center"/>
      <protection/>
    </xf>
    <xf numFmtId="173" fontId="8" fillId="7" borderId="48" xfId="58" applyNumberFormat="1" applyFont="1" applyFill="1" applyBorder="1" applyAlignment="1" applyProtection="1">
      <alignment horizontal="center" vertical="center"/>
      <protection/>
    </xf>
    <xf numFmtId="0" fontId="8" fillId="7" borderId="93" xfId="53" applyFont="1" applyFill="1" applyBorder="1" applyAlignment="1" applyProtection="1">
      <alignment horizontal="center" vertical="center"/>
      <protection/>
    </xf>
    <xf numFmtId="0" fontId="8" fillId="7" borderId="65" xfId="53" applyFont="1" applyFill="1" applyBorder="1" applyAlignment="1" applyProtection="1">
      <alignment horizontal="center" vertical="center"/>
      <protection/>
    </xf>
    <xf numFmtId="173" fontId="52" fillId="0" borderId="24" xfId="58" applyNumberFormat="1" applyFont="1" applyBorder="1" applyAlignment="1" applyProtection="1">
      <alignment horizontal="right"/>
      <protection/>
    </xf>
    <xf numFmtId="173" fontId="17" fillId="0" borderId="0" xfId="58" applyNumberFormat="1" applyFont="1" applyBorder="1" applyAlignment="1" applyProtection="1">
      <alignment/>
      <protection/>
    </xf>
    <xf numFmtId="173" fontId="41" fillId="0" borderId="0" xfId="58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144" xfId="51" applyBorder="1" applyAlignment="1" applyProtection="1">
      <alignment/>
      <protection/>
    </xf>
    <xf numFmtId="173" fontId="13" fillId="0" borderId="0" xfId="58" applyNumberFormat="1" applyFont="1" applyFill="1" applyBorder="1" applyAlignment="1" applyProtection="1">
      <alignment horizontal="left"/>
      <protection/>
    </xf>
    <xf numFmtId="173" fontId="13" fillId="0" borderId="0" xfId="58" applyNumberFormat="1" applyFont="1" applyFill="1" applyBorder="1" applyAlignment="1" applyProtection="1">
      <alignment horizontal="left" vertical="top"/>
      <protection/>
    </xf>
    <xf numFmtId="173" fontId="13" fillId="16" borderId="37" xfId="58" applyNumberFormat="1" applyFont="1" applyFill="1" applyBorder="1" applyAlignment="1" applyProtection="1">
      <alignment/>
      <protection/>
    </xf>
    <xf numFmtId="173" fontId="13" fillId="0" borderId="0" xfId="58" applyNumberFormat="1" applyFont="1" applyFill="1" applyBorder="1" applyAlignment="1" applyProtection="1">
      <alignment horizontal="left" vertical="center"/>
      <protection/>
    </xf>
    <xf numFmtId="173" fontId="17" fillId="0" borderId="0" xfId="58" applyNumberFormat="1" applyFont="1" applyFill="1" applyBorder="1" applyAlignment="1" applyProtection="1">
      <alignment vertical="center"/>
      <protection/>
    </xf>
    <xf numFmtId="173" fontId="8" fillId="27" borderId="37" xfId="58" applyNumberFormat="1" applyFont="1" applyFill="1" applyBorder="1" applyAlignment="1" applyProtection="1">
      <alignment horizontal="center" vertical="center"/>
      <protection/>
    </xf>
    <xf numFmtId="173" fontId="17" fillId="0" borderId="0" xfId="58" applyNumberFormat="1" applyFont="1" applyFill="1" applyBorder="1" applyAlignment="1" applyProtection="1">
      <alignment/>
      <protection/>
    </xf>
    <xf numFmtId="1" fontId="13" fillId="22" borderId="37" xfId="58" applyNumberFormat="1" applyFont="1" applyFill="1" applyBorder="1" applyAlignment="1" applyProtection="1">
      <alignment/>
      <protection locked="0"/>
    </xf>
    <xf numFmtId="173" fontId="52" fillId="0" borderId="24" xfId="58" applyNumberFormat="1" applyFont="1" applyBorder="1" applyAlignment="1" applyProtection="1">
      <alignment horizontal="right" vertical="center"/>
      <protection/>
    </xf>
    <xf numFmtId="173" fontId="17" fillId="0" borderId="144" xfId="58" applyNumberFormat="1" applyFont="1" applyFill="1" applyBorder="1" applyAlignment="1" applyProtection="1">
      <alignment/>
      <protection/>
    </xf>
    <xf numFmtId="173" fontId="13" fillId="0" borderId="0" xfId="58" applyNumberFormat="1" applyFont="1" applyFill="1" applyBorder="1" applyAlignment="1" applyProtection="1">
      <alignment horizontal="left" wrapText="1"/>
      <protection/>
    </xf>
    <xf numFmtId="173" fontId="13" fillId="0" borderId="144" xfId="58" applyNumberFormat="1" applyFont="1" applyFill="1" applyBorder="1" applyAlignment="1" applyProtection="1">
      <alignment horizontal="left" wrapText="1"/>
      <protection/>
    </xf>
    <xf numFmtId="173" fontId="52" fillId="0" borderId="0" xfId="58" applyNumberFormat="1" applyFont="1" applyBorder="1" applyAlignment="1" applyProtection="1">
      <alignment horizontal="right"/>
      <protection/>
    </xf>
    <xf numFmtId="2" fontId="17" fillId="25" borderId="97" xfId="58" applyNumberFormat="1" applyFont="1" applyFill="1" applyBorder="1" applyAlignment="1" applyProtection="1">
      <alignment/>
      <protection/>
    </xf>
    <xf numFmtId="2" fontId="17" fillId="25" borderId="144" xfId="58" applyNumberFormat="1" applyFont="1" applyFill="1" applyBorder="1" applyAlignment="1" applyProtection="1">
      <alignment/>
      <protection/>
    </xf>
    <xf numFmtId="173" fontId="13" fillId="0" borderId="85" xfId="58" applyNumberFormat="1" applyFont="1" applyFill="1" applyBorder="1" applyAlignment="1" applyProtection="1">
      <alignment horizontal="left"/>
      <protection/>
    </xf>
    <xf numFmtId="173" fontId="13" fillId="0" borderId="85" xfId="58" applyNumberFormat="1" applyFont="1" applyFill="1" applyBorder="1" applyAlignment="1" applyProtection="1">
      <alignment horizontal="left" wrapText="1"/>
      <protection/>
    </xf>
    <xf numFmtId="2" fontId="17" fillId="25" borderId="64" xfId="58" applyNumberFormat="1" applyFont="1" applyFill="1" applyBorder="1" applyAlignment="1" applyProtection="1">
      <alignment/>
      <protection/>
    </xf>
    <xf numFmtId="173" fontId="13" fillId="0" borderId="0" xfId="58" applyNumberFormat="1" applyFont="1" applyFill="1" applyAlignment="1" applyProtection="1">
      <alignment horizontal="left"/>
      <protection/>
    </xf>
    <xf numFmtId="173" fontId="17" fillId="0" borderId="148" xfId="58" applyNumberFormat="1" applyFont="1" applyBorder="1" applyAlignment="1" applyProtection="1">
      <alignment horizontal="left" vertical="center"/>
      <protection/>
    </xf>
    <xf numFmtId="173" fontId="9" fillId="7" borderId="37" xfId="58" applyNumberFormat="1" applyFont="1" applyFill="1" applyBorder="1" applyAlignment="1" applyProtection="1">
      <alignment horizontal="center" vertical="center"/>
      <protection/>
    </xf>
    <xf numFmtId="173" fontId="9" fillId="23" borderId="37" xfId="58" applyNumberFormat="1" applyFont="1" applyFill="1" applyBorder="1" applyAlignment="1" applyProtection="1">
      <alignment horizontal="center" vertical="center"/>
      <protection/>
    </xf>
    <xf numFmtId="173" fontId="17" fillId="22" borderId="37" xfId="58" applyNumberFormat="1" applyFont="1" applyFill="1" applyBorder="1" applyAlignment="1" applyProtection="1">
      <alignment/>
      <protection/>
    </xf>
    <xf numFmtId="173" fontId="41" fillId="0" borderId="0" xfId="58" applyNumberFormat="1" applyAlignment="1" applyProtection="1">
      <alignment vertical="center"/>
      <protection hidden="1" locked="0"/>
    </xf>
    <xf numFmtId="173" fontId="13" fillId="0" borderId="0" xfId="58" applyNumberFormat="1" applyFont="1" applyBorder="1" applyAlignment="1" applyProtection="1">
      <alignment horizontal="left"/>
      <protection/>
    </xf>
    <xf numFmtId="173" fontId="17" fillId="0" borderId="0" xfId="58" applyNumberFormat="1" applyFont="1" applyBorder="1" applyAlignment="1" applyProtection="1">
      <alignment horizontal="left"/>
      <protection/>
    </xf>
    <xf numFmtId="173" fontId="17" fillId="0" borderId="144" xfId="58" applyNumberFormat="1" applyFont="1" applyBorder="1" applyAlignment="1" applyProtection="1">
      <alignment/>
      <protection/>
    </xf>
    <xf numFmtId="173" fontId="13" fillId="0" borderId="0" xfId="58" applyNumberFormat="1" applyFont="1" applyFill="1" applyBorder="1" applyAlignment="1" applyProtection="1">
      <alignment wrapText="1"/>
      <protection/>
    </xf>
    <xf numFmtId="173" fontId="17" fillId="25" borderId="0" xfId="58" applyNumberFormat="1" applyFont="1" applyFill="1" applyBorder="1" applyAlignment="1" applyProtection="1">
      <alignment/>
      <protection/>
    </xf>
    <xf numFmtId="173" fontId="17" fillId="25" borderId="144" xfId="58" applyNumberFormat="1" applyFont="1" applyFill="1" applyBorder="1" applyAlignment="1" applyProtection="1">
      <alignment/>
      <protection/>
    </xf>
    <xf numFmtId="173" fontId="41" fillId="0" borderId="0" xfId="58" applyNumberFormat="1" applyBorder="1" applyAlignment="1" applyProtection="1">
      <alignment vertical="center"/>
      <protection/>
    </xf>
    <xf numFmtId="173" fontId="13" fillId="0" borderId="0" xfId="58" applyNumberFormat="1" applyFont="1" applyBorder="1" applyAlignment="1" applyProtection="1">
      <alignment vertical="center"/>
      <protection/>
    </xf>
    <xf numFmtId="173" fontId="13" fillId="0" borderId="0" xfId="58" applyNumberFormat="1" applyFont="1" applyBorder="1" applyAlignment="1" applyProtection="1">
      <alignment horizontal="left" vertical="center"/>
      <protection/>
    </xf>
    <xf numFmtId="173" fontId="13" fillId="0" borderId="144" xfId="58" applyNumberFormat="1" applyFont="1" applyBorder="1" applyAlignment="1" applyProtection="1">
      <alignment vertical="center"/>
      <protection/>
    </xf>
    <xf numFmtId="173" fontId="13" fillId="0" borderId="37" xfId="58" applyNumberFormat="1" applyFont="1" applyFill="1" applyBorder="1" applyAlignment="1" applyProtection="1">
      <alignment vertical="center"/>
      <protection locked="0"/>
    </xf>
    <xf numFmtId="173" fontId="17" fillId="0" borderId="0" xfId="58" applyNumberFormat="1" applyFont="1" applyBorder="1" applyAlignment="1" applyProtection="1">
      <alignment horizontal="left" vertical="center"/>
      <protection/>
    </xf>
    <xf numFmtId="173" fontId="17" fillId="0" borderId="0" xfId="58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144" xfId="51" applyBorder="1" applyProtection="1">
      <alignment/>
      <protection/>
    </xf>
    <xf numFmtId="173" fontId="17" fillId="0" borderId="144" xfId="58" applyNumberFormat="1" applyFont="1" applyBorder="1" applyAlignment="1" applyProtection="1">
      <alignment vertical="center"/>
      <protection/>
    </xf>
    <xf numFmtId="173" fontId="52" fillId="0" borderId="63" xfId="58" applyNumberFormat="1" applyFont="1" applyBorder="1" applyAlignment="1" applyProtection="1">
      <alignment horizontal="right" vertical="center"/>
      <protection/>
    </xf>
    <xf numFmtId="173" fontId="41" fillId="0" borderId="85" xfId="58" applyNumberFormat="1" applyBorder="1" applyAlignment="1" applyProtection="1">
      <alignment vertical="center"/>
      <protection/>
    </xf>
    <xf numFmtId="173" fontId="17" fillId="0" borderId="85" xfId="58" applyNumberFormat="1" applyFont="1" applyBorder="1" applyAlignment="1" applyProtection="1">
      <alignment horizontal="left" vertical="center"/>
      <protection/>
    </xf>
    <xf numFmtId="173" fontId="17" fillId="0" borderId="85" xfId="58" applyNumberFormat="1" applyFont="1" applyBorder="1" applyAlignment="1" applyProtection="1">
      <alignment vertical="center"/>
      <protection/>
    </xf>
    <xf numFmtId="173" fontId="24" fillId="0" borderId="0" xfId="58" applyNumberFormat="1" applyFont="1" applyAlignment="1" applyProtection="1">
      <alignment vertical="center"/>
      <protection/>
    </xf>
    <xf numFmtId="173" fontId="17" fillId="0" borderId="0" xfId="58" applyNumberFormat="1" applyFont="1" applyAlignment="1" applyProtection="1">
      <alignment horizontal="left" vertical="center"/>
      <protection/>
    </xf>
    <xf numFmtId="173" fontId="13" fillId="0" borderId="144" xfId="58" applyNumberFormat="1" applyFont="1" applyFill="1" applyBorder="1" applyAlignment="1" applyProtection="1">
      <alignment wrapText="1"/>
      <protection/>
    </xf>
    <xf numFmtId="0" fontId="17" fillId="0" borderId="0" xfId="60" applyAlignment="1" applyProtection="1">
      <alignment/>
      <protection/>
    </xf>
    <xf numFmtId="173" fontId="17" fillId="0" borderId="144" xfId="58" applyNumberFormat="1" applyFont="1" applyFill="1" applyBorder="1" applyAlignment="1" applyProtection="1">
      <alignment vertical="center"/>
      <protection/>
    </xf>
    <xf numFmtId="173" fontId="41" fillId="0" borderId="0" xfId="58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3" fillId="16" borderId="37" xfId="58" applyNumberFormat="1" applyFont="1" applyFill="1" applyBorder="1" applyAlignment="1" applyProtection="1">
      <alignment/>
      <protection/>
    </xf>
    <xf numFmtId="2" fontId="17" fillId="0" borderId="64" xfId="58" applyNumberFormat="1" applyFont="1" applyFill="1" applyBorder="1" applyAlignment="1" applyProtection="1">
      <alignment/>
      <protection/>
    </xf>
    <xf numFmtId="173" fontId="52" fillId="0" borderId="0" xfId="58" applyNumberFormat="1" applyFont="1" applyAlignment="1" applyProtection="1">
      <alignment horizontal="right"/>
      <protection/>
    </xf>
    <xf numFmtId="173" fontId="24" fillId="0" borderId="0" xfId="58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52" fillId="0" borderId="147" xfId="58" applyNumberFormat="1" applyFont="1" applyBorder="1" applyAlignment="1" applyProtection="1">
      <alignment horizontal="right"/>
      <protection/>
    </xf>
    <xf numFmtId="173" fontId="13" fillId="0" borderId="148" xfId="58" applyNumberFormat="1" applyFont="1" applyFill="1" applyBorder="1" applyAlignment="1" applyProtection="1">
      <alignment horizontal="left"/>
      <protection/>
    </xf>
    <xf numFmtId="0" fontId="70" fillId="0" borderId="0" xfId="51" applyNumberFormat="1" applyFont="1" applyAlignment="1" applyProtection="1">
      <alignment vertical="center"/>
      <protection/>
    </xf>
    <xf numFmtId="173" fontId="17" fillId="22" borderId="37" xfId="58" applyNumberFormat="1" applyFont="1" applyFill="1" applyBorder="1" applyAlignment="1" applyProtection="1">
      <alignment vertical="center"/>
      <protection/>
    </xf>
    <xf numFmtId="173" fontId="17" fillId="22" borderId="61" xfId="58" applyNumberFormat="1" applyFont="1" applyFill="1" applyBorder="1" applyAlignment="1" applyProtection="1">
      <alignment vertical="center"/>
      <protection/>
    </xf>
    <xf numFmtId="173" fontId="24" fillId="0" borderId="0" xfId="58" applyNumberFormat="1" applyFont="1" applyAlignment="1" applyProtection="1">
      <alignment horizontal="center" vertical="center"/>
      <protection/>
    </xf>
    <xf numFmtId="173" fontId="13" fillId="0" borderId="0" xfId="58" applyNumberFormat="1" applyFont="1" applyBorder="1" applyAlignment="1" applyProtection="1">
      <alignment horizontal="centerContinuous" vertical="center" wrapText="1"/>
      <protection/>
    </xf>
    <xf numFmtId="173" fontId="24" fillId="0" borderId="0" xfId="58" applyNumberFormat="1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left" vertical="center" wrapText="1"/>
      <protection/>
    </xf>
    <xf numFmtId="0" fontId="66" fillId="0" borderId="0" xfId="51" applyFont="1" applyBorder="1" applyAlignment="1" applyProtection="1">
      <alignment/>
      <protection/>
    </xf>
    <xf numFmtId="0" fontId="67" fillId="0" borderId="0" xfId="51" applyFont="1" applyBorder="1" applyAlignment="1" applyProtection="1">
      <alignment/>
      <protection/>
    </xf>
    <xf numFmtId="0" fontId="0" fillId="0" borderId="144" xfId="51" applyBorder="1" applyAlignment="1" applyProtection="1">
      <alignment wrapText="1"/>
      <protection/>
    </xf>
    <xf numFmtId="0" fontId="66" fillId="0" borderId="0" xfId="51" applyFont="1" applyBorder="1" applyAlignment="1" applyProtection="1">
      <alignment wrapText="1"/>
      <protection/>
    </xf>
    <xf numFmtId="0" fontId="67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73" fontId="67" fillId="0" borderId="0" xfId="58" applyNumberFormat="1" applyFont="1" applyBorder="1" applyAlignment="1" applyProtection="1">
      <alignment vertical="center"/>
      <protection/>
    </xf>
    <xf numFmtId="1" fontId="13" fillId="22" borderId="37" xfId="58" applyNumberFormat="1" applyFont="1" applyFill="1" applyBorder="1" applyAlignment="1" applyProtection="1">
      <alignment vertical="center"/>
      <protection locked="0"/>
    </xf>
    <xf numFmtId="0" fontId="13" fillId="0" borderId="0" xfId="60" applyFont="1" applyBorder="1" applyAlignment="1" applyProtection="1">
      <alignment vertical="center"/>
      <protection/>
    </xf>
    <xf numFmtId="173" fontId="52" fillId="0" borderId="24" xfId="58" applyNumberFormat="1" applyFont="1" applyFill="1" applyBorder="1" applyAlignment="1" applyProtection="1">
      <alignment horizontal="right" vertical="center"/>
      <protection/>
    </xf>
    <xf numFmtId="0" fontId="13" fillId="0" borderId="0" xfId="60" applyFont="1" applyFill="1" applyBorder="1" applyAlignment="1" applyProtection="1">
      <alignment vertical="center"/>
      <protection/>
    </xf>
    <xf numFmtId="173" fontId="67" fillId="0" borderId="0" xfId="58" applyNumberFormat="1" applyFont="1" applyFill="1" applyBorder="1" applyAlignment="1" applyProtection="1">
      <alignment vertical="center"/>
      <protection/>
    </xf>
    <xf numFmtId="173" fontId="13" fillId="0" borderId="0" xfId="58" applyNumberFormat="1" applyFont="1" applyFill="1" applyBorder="1" applyAlignment="1" applyProtection="1">
      <alignment vertical="center"/>
      <protection/>
    </xf>
    <xf numFmtId="173" fontId="17" fillId="0" borderId="64" xfId="58" applyNumberFormat="1" applyFont="1" applyFill="1" applyBorder="1" applyAlignment="1" applyProtection="1">
      <alignment vertical="center"/>
      <protection/>
    </xf>
    <xf numFmtId="2" fontId="13" fillId="16" borderId="37" xfId="58" applyNumberFormat="1" applyFont="1" applyFill="1" applyBorder="1" applyAlignment="1" applyProtection="1">
      <alignment vertical="center"/>
      <protection/>
    </xf>
    <xf numFmtId="1" fontId="13" fillId="16" borderId="37" xfId="58" applyNumberFormat="1" applyFont="1" applyFill="1" applyBorder="1" applyAlignment="1" applyProtection="1">
      <alignment vertical="center"/>
      <protection/>
    </xf>
    <xf numFmtId="173" fontId="17" fillId="0" borderId="64" xfId="58" applyNumberFormat="1" applyFont="1" applyBorder="1" applyAlignment="1" applyProtection="1">
      <alignment vertical="center"/>
      <protection/>
    </xf>
    <xf numFmtId="173" fontId="52" fillId="16" borderId="48" xfId="58" applyNumberFormat="1" applyFont="1" applyFill="1" applyBorder="1" applyAlignment="1" applyProtection="1">
      <alignment vertical="center"/>
      <protection/>
    </xf>
    <xf numFmtId="0" fontId="98" fillId="16" borderId="93" xfId="54" applyFont="1" applyFill="1" applyBorder="1" applyAlignment="1" applyProtection="1">
      <alignment horizontal="left" vertical="center" readingOrder="1"/>
      <protection/>
    </xf>
    <xf numFmtId="173" fontId="17" fillId="16" borderId="93" xfId="58" applyNumberFormat="1" applyFont="1" applyFill="1" applyBorder="1" applyAlignment="1" applyProtection="1">
      <alignment vertical="center"/>
      <protection/>
    </xf>
    <xf numFmtId="0" fontId="17" fillId="16" borderId="93" xfId="60" applyFont="1" applyFill="1" applyBorder="1" applyAlignment="1" applyProtection="1">
      <alignment vertical="center" wrapText="1"/>
      <protection/>
    </xf>
    <xf numFmtId="0" fontId="17" fillId="16" borderId="65" xfId="60" applyFont="1" applyFill="1" applyBorder="1" applyAlignment="1" applyProtection="1">
      <alignment vertical="center" wrapText="1"/>
      <protection/>
    </xf>
    <xf numFmtId="173" fontId="41" fillId="0" borderId="0" xfId="58" applyNumberFormat="1" applyFill="1" applyBorder="1" applyAlignment="1" applyProtection="1">
      <alignment vertical="center"/>
      <protection/>
    </xf>
    <xf numFmtId="173" fontId="52" fillId="0" borderId="0" xfId="58" applyNumberFormat="1" applyFont="1" applyBorder="1" applyAlignment="1" applyProtection="1">
      <alignment vertical="center"/>
      <protection/>
    </xf>
    <xf numFmtId="173" fontId="41" fillId="0" borderId="0" xfId="58" applyNumberFormat="1" applyFill="1" applyBorder="1" applyAlignment="1" applyProtection="1">
      <alignment horizontal="right" vertical="center"/>
      <protection hidden="1"/>
    </xf>
    <xf numFmtId="173" fontId="17" fillId="0" borderId="0" xfId="58" applyNumberFormat="1" applyFont="1" applyFill="1" applyBorder="1" applyAlignment="1" applyProtection="1">
      <alignment vertical="center"/>
      <protection hidden="1"/>
    </xf>
    <xf numFmtId="0" fontId="17" fillId="0" borderId="0" xfId="60" applyFont="1" applyFill="1" applyBorder="1" applyAlignment="1" applyProtection="1">
      <alignment vertical="center" wrapText="1"/>
      <protection hidden="1"/>
    </xf>
    <xf numFmtId="173" fontId="52" fillId="0" borderId="0" xfId="58" applyNumberFormat="1" applyFont="1" applyAlignment="1" applyProtection="1">
      <alignment horizontal="right" vertical="center"/>
      <protection hidden="1"/>
    </xf>
    <xf numFmtId="173" fontId="17" fillId="0" borderId="0" xfId="58" applyNumberFormat="1" applyFont="1" applyAlignment="1" applyProtection="1">
      <alignment vertical="center"/>
      <protection hidden="1"/>
    </xf>
    <xf numFmtId="173" fontId="100" fillId="0" borderId="0" xfId="58" applyNumberFormat="1" applyFont="1" applyAlignment="1" applyProtection="1">
      <alignment horizontal="right" vertical="center"/>
      <protection hidden="1"/>
    </xf>
    <xf numFmtId="173" fontId="41" fillId="16" borderId="147" xfId="58" applyNumberFormat="1" applyFont="1" applyFill="1" applyBorder="1" applyAlignment="1" applyProtection="1">
      <alignment horizontal="right" vertical="center"/>
      <protection/>
    </xf>
    <xf numFmtId="0" fontId="97" fillId="16" borderId="148" xfId="54" applyFont="1" applyFill="1" applyBorder="1" applyAlignment="1" applyProtection="1">
      <alignment horizontal="center" readingOrder="1"/>
      <protection/>
    </xf>
    <xf numFmtId="173" fontId="41" fillId="16" borderId="24" xfId="58" applyNumberFormat="1" applyFont="1" applyFill="1" applyBorder="1" applyAlignment="1" applyProtection="1">
      <alignment horizontal="right" vertical="center"/>
      <protection/>
    </xf>
    <xf numFmtId="0" fontId="97" fillId="16" borderId="0" xfId="54" applyFont="1" applyFill="1" applyBorder="1" applyAlignment="1" applyProtection="1">
      <alignment horizontal="left" readingOrder="1"/>
      <protection/>
    </xf>
    <xf numFmtId="0" fontId="97" fillId="16" borderId="0" xfId="54" applyFont="1" applyFill="1" applyBorder="1" applyAlignment="1" applyProtection="1">
      <alignment horizontal="left"/>
      <protection/>
    </xf>
    <xf numFmtId="173" fontId="41" fillId="16" borderId="63" xfId="58" applyNumberFormat="1" applyFont="1" applyFill="1" applyBorder="1" applyAlignment="1" applyProtection="1">
      <alignment horizontal="right" vertical="top"/>
      <protection/>
    </xf>
    <xf numFmtId="0" fontId="97" fillId="16" borderId="85" xfId="54" applyFont="1" applyFill="1" applyBorder="1" applyAlignment="1" applyProtection="1">
      <alignment vertical="top"/>
      <protection/>
    </xf>
    <xf numFmtId="0" fontId="97" fillId="16" borderId="85" xfId="54" applyFont="1" applyFill="1" applyBorder="1" applyAlignment="1" applyProtection="1">
      <alignment horizontal="left" vertical="top"/>
      <protection/>
    </xf>
    <xf numFmtId="173" fontId="41" fillId="0" borderId="0" xfId="58" applyNumberFormat="1" applyFont="1" applyAlignment="1" applyProtection="1">
      <alignment horizontal="right" vertical="center"/>
      <protection/>
    </xf>
    <xf numFmtId="173" fontId="42" fillId="0" borderId="0" xfId="58" applyNumberFormat="1" applyFont="1" applyAlignment="1" applyProtection="1">
      <alignment horizontal="right" vertical="center"/>
      <protection/>
    </xf>
    <xf numFmtId="173" fontId="41" fillId="0" borderId="0" xfId="58" applyNumberFormat="1" applyBorder="1" applyAlignment="1" applyProtection="1">
      <alignment horizontal="right" vertical="center"/>
      <protection/>
    </xf>
    <xf numFmtId="173" fontId="101" fillId="0" borderId="0" xfId="58" applyNumberFormat="1" applyFont="1" applyFill="1" applyBorder="1" applyAlignment="1" applyProtection="1">
      <alignment horizontal="left"/>
      <protection/>
    </xf>
    <xf numFmtId="173" fontId="13" fillId="25" borderId="85" xfId="58" applyNumberFormat="1" applyFont="1" applyFill="1" applyBorder="1" applyAlignment="1" applyProtection="1">
      <alignment horizontal="left"/>
      <protection/>
    </xf>
    <xf numFmtId="173" fontId="13" fillId="25" borderId="85" xfId="58" applyNumberFormat="1" applyFont="1" applyFill="1" applyBorder="1" applyAlignment="1" applyProtection="1">
      <alignment horizontal="left" wrapText="1"/>
      <protection/>
    </xf>
    <xf numFmtId="173" fontId="13" fillId="0" borderId="0" xfId="58" applyNumberFormat="1" applyFont="1" applyBorder="1" applyAlignment="1" applyProtection="1">
      <alignment horizontal="left" vertical="top"/>
      <protection/>
    </xf>
    <xf numFmtId="173" fontId="13" fillId="0" borderId="0" xfId="58" applyNumberFormat="1" applyFont="1" applyFill="1" applyBorder="1" applyAlignment="1" applyProtection="1">
      <alignment vertical="center" wrapText="1"/>
      <protection/>
    </xf>
    <xf numFmtId="173" fontId="41" fillId="0" borderId="0" xfId="56" applyNumberFormat="1" applyAlignment="1" applyProtection="1">
      <alignment vertical="center"/>
      <protection/>
    </xf>
    <xf numFmtId="173" fontId="41" fillId="0" borderId="24" xfId="56" applyNumberFormat="1" applyBorder="1" applyAlignment="1" applyProtection="1">
      <alignment vertical="center"/>
      <protection/>
    </xf>
    <xf numFmtId="173" fontId="13" fillId="0" borderId="0" xfId="56" applyNumberFormat="1" applyFont="1" applyFill="1" applyBorder="1" applyAlignment="1" applyProtection="1">
      <alignment horizontal="left"/>
      <protection/>
    </xf>
    <xf numFmtId="173" fontId="41" fillId="0" borderId="0" xfId="56" applyNumberFormat="1" applyBorder="1" applyAlignment="1" applyProtection="1">
      <alignment vertical="center"/>
      <protection/>
    </xf>
    <xf numFmtId="173" fontId="17" fillId="0" borderId="0" xfId="56" applyNumberFormat="1" applyFont="1" applyFill="1" applyBorder="1" applyAlignment="1" applyProtection="1">
      <alignment vertical="center"/>
      <protection/>
    </xf>
    <xf numFmtId="173" fontId="52" fillId="0" borderId="24" xfId="56" applyNumberFormat="1" applyFont="1" applyFill="1" applyBorder="1" applyAlignment="1" applyProtection="1">
      <alignment vertical="center"/>
      <protection/>
    </xf>
    <xf numFmtId="173" fontId="13" fillId="0" borderId="0" xfId="56" applyNumberFormat="1" applyFont="1" applyFill="1" applyBorder="1" applyAlignment="1" applyProtection="1">
      <alignment vertical="center" wrapText="1"/>
      <protection/>
    </xf>
    <xf numFmtId="2" fontId="13" fillId="22" borderId="37" xfId="56" applyNumberFormat="1" applyFont="1" applyFill="1" applyBorder="1" applyAlignment="1" applyProtection="1">
      <alignment vertical="center"/>
      <protection locked="0"/>
    </xf>
    <xf numFmtId="173" fontId="13" fillId="0" borderId="0" xfId="56" applyNumberFormat="1" applyFont="1" applyFill="1" applyBorder="1" applyAlignment="1" applyProtection="1">
      <alignment horizontal="left" vertical="center"/>
      <protection/>
    </xf>
    <xf numFmtId="173" fontId="13" fillId="0" borderId="0" xfId="56" applyNumberFormat="1" applyFont="1" applyFill="1" applyBorder="1" applyAlignment="1" applyProtection="1">
      <alignment vertical="center"/>
      <protection/>
    </xf>
    <xf numFmtId="173" fontId="24" fillId="0" borderId="0" xfId="56" applyNumberFormat="1" applyFont="1" applyAlignment="1" applyProtection="1">
      <alignment horizontal="left"/>
      <protection/>
    </xf>
    <xf numFmtId="173" fontId="17" fillId="0" borderId="0" xfId="56" applyNumberFormat="1" applyFont="1" applyFill="1" applyBorder="1" applyAlignment="1" applyProtection="1">
      <alignment horizontal="left" vertical="center"/>
      <protection/>
    </xf>
    <xf numFmtId="2" fontId="13" fillId="0" borderId="37" xfId="70" applyNumberFormat="1" applyFont="1" applyFill="1" applyBorder="1" applyAlignment="1" applyProtection="1">
      <alignment horizontal="center" vertical="center" wrapText="1"/>
      <protection/>
    </xf>
    <xf numFmtId="173" fontId="24" fillId="0" borderId="24" xfId="56" applyNumberFormat="1" applyFont="1" applyFill="1" applyBorder="1" applyAlignment="1" applyProtection="1">
      <alignment horizontal="left"/>
      <protection/>
    </xf>
    <xf numFmtId="173" fontId="17" fillId="0" borderId="144" xfId="56" applyNumberFormat="1" applyFont="1" applyBorder="1" applyAlignment="1" applyProtection="1">
      <alignment vertical="center"/>
      <protection/>
    </xf>
    <xf numFmtId="173" fontId="52" fillId="0" borderId="24" xfId="56" applyNumberFormat="1" applyFont="1" applyFill="1" applyBorder="1" applyAlignment="1" applyProtection="1">
      <alignment horizontal="right" vertical="center"/>
      <protection/>
    </xf>
    <xf numFmtId="173" fontId="13" fillId="0" borderId="144" xfId="56" applyNumberFormat="1" applyFont="1" applyFill="1" applyBorder="1" applyAlignment="1" applyProtection="1">
      <alignment vertical="center"/>
      <protection/>
    </xf>
    <xf numFmtId="1" fontId="13" fillId="22" borderId="37" xfId="56" applyNumberFormat="1" applyFont="1" applyFill="1" applyBorder="1" applyAlignment="1" applyProtection="1">
      <alignment vertical="center"/>
      <protection locked="0"/>
    </xf>
    <xf numFmtId="173" fontId="13" fillId="0" borderId="0" xfId="56" applyNumberFormat="1" applyFont="1" applyFill="1" applyBorder="1" applyAlignment="1" applyProtection="1">
      <alignment horizontal="left" vertical="center" wrapText="1"/>
      <protection/>
    </xf>
    <xf numFmtId="173" fontId="41" fillId="0" borderId="144" xfId="56" applyNumberFormat="1" applyBorder="1" applyAlignment="1" applyProtection="1">
      <alignment vertical="center"/>
      <protection/>
    </xf>
    <xf numFmtId="173" fontId="52" fillId="0" borderId="24" xfId="56" applyNumberFormat="1" applyFont="1" applyBorder="1" applyAlignment="1" applyProtection="1">
      <alignment horizontal="right" vertical="center"/>
      <protection/>
    </xf>
    <xf numFmtId="173" fontId="17" fillId="0" borderId="0" xfId="56" applyNumberFormat="1" applyFont="1" applyFill="1" applyBorder="1" applyAlignment="1" applyProtection="1">
      <alignment horizontal="center" vertical="center"/>
      <protection/>
    </xf>
    <xf numFmtId="173" fontId="13" fillId="0" borderId="0" xfId="56" applyNumberFormat="1" applyFont="1" applyFill="1" applyBorder="1" applyAlignment="1" applyProtection="1">
      <alignment horizontal="right" vertical="center"/>
      <protection/>
    </xf>
    <xf numFmtId="173" fontId="13" fillId="0" borderId="0" xfId="56" applyNumberFormat="1" applyFont="1" applyFill="1" applyBorder="1" applyAlignment="1" applyProtection="1">
      <alignment horizontal="right" vertical="center" wrapText="1"/>
      <protection/>
    </xf>
    <xf numFmtId="9" fontId="13" fillId="0" borderId="0" xfId="70" applyFont="1" applyFill="1" applyBorder="1" applyAlignment="1" applyProtection="1">
      <alignment horizontal="center" vertical="center" wrapText="1"/>
      <protection/>
    </xf>
    <xf numFmtId="173" fontId="41" fillId="0" borderId="0" xfId="56" applyNumberFormat="1" applyFill="1" applyBorder="1" applyAlignment="1" applyProtection="1">
      <alignment vertical="center"/>
      <protection/>
    </xf>
    <xf numFmtId="173" fontId="41" fillId="0" borderId="0" xfId="56" applyNumberFormat="1" applyFont="1" applyBorder="1" applyAlignment="1" applyProtection="1">
      <alignment vertical="center"/>
      <protection/>
    </xf>
    <xf numFmtId="173" fontId="13" fillId="25" borderId="144" xfId="56" applyNumberFormat="1" applyFont="1" applyFill="1" applyBorder="1" applyAlignment="1" applyProtection="1">
      <alignment vertical="center"/>
      <protection/>
    </xf>
    <xf numFmtId="173" fontId="13" fillId="25" borderId="97" xfId="56" applyNumberFormat="1" applyFont="1" applyFill="1" applyBorder="1" applyAlignment="1" applyProtection="1">
      <alignment vertical="center"/>
      <protection/>
    </xf>
    <xf numFmtId="173" fontId="13" fillId="25" borderId="64" xfId="56" applyNumberFormat="1" applyFont="1" applyFill="1" applyBorder="1" applyAlignment="1" applyProtection="1">
      <alignment vertical="center"/>
      <protection/>
    </xf>
    <xf numFmtId="1" fontId="13" fillId="16" borderId="37" xfId="56" applyNumberFormat="1" applyFont="1" applyFill="1" applyBorder="1" applyAlignment="1" applyProtection="1">
      <alignment vertical="center"/>
      <protection/>
    </xf>
    <xf numFmtId="2" fontId="13" fillId="16" borderId="37" xfId="56" applyNumberFormat="1" applyFont="1" applyFill="1" applyBorder="1" applyAlignment="1" applyProtection="1">
      <alignment vertical="center"/>
      <protection/>
    </xf>
    <xf numFmtId="1" fontId="13" fillId="25" borderId="37" xfId="56" applyNumberFormat="1" applyFont="1" applyFill="1" applyBorder="1" applyAlignment="1" applyProtection="1">
      <alignment vertical="center"/>
      <protection/>
    </xf>
    <xf numFmtId="173" fontId="52" fillId="0" borderId="63" xfId="56" applyNumberFormat="1" applyFont="1" applyFill="1" applyBorder="1" applyAlignment="1" applyProtection="1">
      <alignment vertical="center"/>
      <protection/>
    </xf>
    <xf numFmtId="173" fontId="41" fillId="0" borderId="85" xfId="56" applyNumberFormat="1" applyBorder="1" applyAlignment="1" applyProtection="1">
      <alignment vertical="center"/>
      <protection/>
    </xf>
    <xf numFmtId="173" fontId="13" fillId="0" borderId="85" xfId="56" applyNumberFormat="1" applyFont="1" applyFill="1" applyBorder="1" applyAlignment="1" applyProtection="1">
      <alignment horizontal="left" vertical="center"/>
      <protection/>
    </xf>
    <xf numFmtId="173" fontId="17" fillId="0" borderId="85" xfId="56" applyNumberFormat="1" applyFont="1" applyFill="1" applyBorder="1" applyAlignment="1" applyProtection="1">
      <alignment vertical="center"/>
      <protection/>
    </xf>
    <xf numFmtId="2" fontId="13" fillId="25" borderId="37" xfId="56" applyNumberFormat="1" applyFont="1" applyFill="1" applyBorder="1" applyAlignment="1" applyProtection="1">
      <alignment vertical="center"/>
      <protection/>
    </xf>
    <xf numFmtId="173" fontId="52" fillId="0" borderId="0" xfId="56" applyNumberFormat="1" applyFont="1" applyFill="1" applyAlignment="1" applyProtection="1">
      <alignment vertical="center"/>
      <protection/>
    </xf>
    <xf numFmtId="173" fontId="13" fillId="0" borderId="0" xfId="56" applyNumberFormat="1" applyFont="1" applyFill="1" applyAlignment="1" applyProtection="1">
      <alignment vertical="center" wrapText="1"/>
      <protection/>
    </xf>
    <xf numFmtId="173" fontId="13" fillId="0" borderId="147" xfId="56" applyNumberFormat="1" applyFont="1" applyFill="1" applyBorder="1" applyAlignment="1" applyProtection="1">
      <alignment horizontal="left"/>
      <protection/>
    </xf>
    <xf numFmtId="173" fontId="24" fillId="0" borderId="148" xfId="56" applyNumberFormat="1" applyFont="1" applyFill="1" applyBorder="1" applyAlignment="1" applyProtection="1">
      <alignment horizontal="left"/>
      <protection/>
    </xf>
    <xf numFmtId="173" fontId="17" fillId="0" borderId="0" xfId="56" applyNumberFormat="1" applyFont="1" applyFill="1" applyBorder="1" applyAlignment="1" applyProtection="1">
      <alignment horizontal="right" vertical="center"/>
      <protection/>
    </xf>
    <xf numFmtId="173" fontId="13" fillId="0" borderId="144" xfId="56" applyNumberFormat="1" applyFont="1" applyFill="1" applyBorder="1" applyAlignment="1" applyProtection="1">
      <alignment horizontal="left" vertical="center" wrapText="1"/>
      <protection/>
    </xf>
    <xf numFmtId="173" fontId="22" fillId="0" borderId="144" xfId="56" applyNumberFormat="1" applyFont="1" applyFill="1" applyBorder="1" applyAlignment="1" applyProtection="1">
      <alignment horizontal="right" vertical="center" wrapText="1"/>
      <protection/>
    </xf>
    <xf numFmtId="173" fontId="17" fillId="0" borderId="144" xfId="56" applyNumberFormat="1" applyFont="1" applyFill="1" applyBorder="1" applyAlignment="1" applyProtection="1">
      <alignment vertical="center"/>
      <protection/>
    </xf>
    <xf numFmtId="173" fontId="24" fillId="0" borderId="0" xfId="56" applyNumberFormat="1" applyFont="1" applyFill="1" applyBorder="1" applyAlignment="1" applyProtection="1">
      <alignment vertical="center" wrapText="1"/>
      <protection/>
    </xf>
    <xf numFmtId="173" fontId="24" fillId="0" borderId="144" xfId="56" applyNumberFormat="1" applyFont="1" applyFill="1" applyBorder="1" applyAlignment="1" applyProtection="1">
      <alignment horizontal="left" vertical="center" wrapText="1"/>
      <protection/>
    </xf>
    <xf numFmtId="173" fontId="24" fillId="0" borderId="0" xfId="56" applyNumberFormat="1" applyFont="1" applyFill="1" applyBorder="1" applyAlignment="1" applyProtection="1">
      <alignment vertical="center"/>
      <protection/>
    </xf>
    <xf numFmtId="173" fontId="52" fillId="0" borderId="0" xfId="56" applyNumberFormat="1" applyFont="1" applyFill="1" applyBorder="1" applyAlignment="1" applyProtection="1">
      <alignment horizontal="right" vertical="center"/>
      <protection/>
    </xf>
    <xf numFmtId="2" fontId="17" fillId="25" borderId="144" xfId="56" applyNumberFormat="1" applyFont="1" applyFill="1" applyBorder="1" applyAlignment="1" applyProtection="1">
      <alignment vertical="center"/>
      <protection/>
    </xf>
    <xf numFmtId="173" fontId="13" fillId="0" borderId="85" xfId="56" applyNumberFormat="1" applyFont="1" applyFill="1" applyBorder="1" applyAlignment="1" applyProtection="1">
      <alignment vertical="center"/>
      <protection/>
    </xf>
    <xf numFmtId="173" fontId="13" fillId="0" borderId="85" xfId="56" applyNumberFormat="1" applyFont="1" applyFill="1" applyBorder="1" applyAlignment="1" applyProtection="1">
      <alignment vertical="center" wrapText="1"/>
      <protection/>
    </xf>
    <xf numFmtId="173" fontId="13" fillId="0" borderId="64" xfId="56" applyNumberFormat="1" applyFont="1" applyFill="1" applyBorder="1" applyAlignment="1" applyProtection="1">
      <alignment horizontal="left" vertical="center" wrapText="1"/>
      <protection/>
    </xf>
    <xf numFmtId="2" fontId="17" fillId="0" borderId="0" xfId="56" applyNumberFormat="1" applyFont="1" applyFill="1" applyBorder="1" applyAlignment="1" applyProtection="1">
      <alignment vertical="center"/>
      <protection/>
    </xf>
    <xf numFmtId="173" fontId="52" fillId="0" borderId="24" xfId="56" applyNumberFormat="1" applyFont="1" applyBorder="1" applyAlignment="1" applyProtection="1">
      <alignment horizontal="right"/>
      <protection/>
    </xf>
    <xf numFmtId="173" fontId="13" fillId="0" borderId="0" xfId="56" applyNumberFormat="1" applyFont="1" applyBorder="1" applyAlignment="1" applyProtection="1">
      <alignment horizontal="left"/>
      <protection/>
    </xf>
    <xf numFmtId="173" fontId="41" fillId="0" borderId="0" xfId="58" applyNumberFormat="1" applyFill="1" applyBorder="1" applyAlignment="1" applyProtection="1">
      <alignment/>
      <protection/>
    </xf>
    <xf numFmtId="173" fontId="52" fillId="0" borderId="24" xfId="58" applyNumberFormat="1" applyFont="1" applyBorder="1" applyAlignment="1" applyProtection="1">
      <alignment horizontal="left"/>
      <protection/>
    </xf>
    <xf numFmtId="173" fontId="13" fillId="0" borderId="0" xfId="58" applyNumberFormat="1" applyFont="1" applyBorder="1" applyAlignment="1" applyProtection="1">
      <alignment horizontal="left" wrapText="1"/>
      <protection/>
    </xf>
    <xf numFmtId="0" fontId="13" fillId="0" borderId="0" xfId="52" applyFont="1" applyFill="1" applyBorder="1" applyAlignment="1" applyProtection="1">
      <alignment horizontal="left" wrapText="1"/>
      <protection/>
    </xf>
    <xf numFmtId="0" fontId="66" fillId="0" borderId="0" xfId="51" applyFont="1" applyBorder="1" applyAlignment="1" applyProtection="1">
      <alignment horizontal="left"/>
      <protection/>
    </xf>
    <xf numFmtId="173" fontId="41" fillId="0" borderId="0" xfId="58" applyNumberFormat="1" applyBorder="1" applyAlignment="1" applyProtection="1">
      <alignment horizontal="left"/>
      <protection/>
    </xf>
    <xf numFmtId="0" fontId="66" fillId="0" borderId="0" xfId="51" applyFont="1" applyBorder="1" applyAlignment="1" applyProtection="1">
      <alignment horizontal="left" wrapText="1"/>
      <protection/>
    </xf>
    <xf numFmtId="0" fontId="13" fillId="0" borderId="0" xfId="60" applyFont="1" applyBorder="1" applyAlignment="1" applyProtection="1">
      <alignment horizontal="left"/>
      <protection/>
    </xf>
    <xf numFmtId="173" fontId="52" fillId="0" borderId="24" xfId="56" applyNumberFormat="1" applyFont="1" applyBorder="1" applyAlignment="1" applyProtection="1">
      <alignment horizontal="left"/>
      <protection/>
    </xf>
    <xf numFmtId="173" fontId="17" fillId="0" borderId="0" xfId="56" applyNumberFormat="1" applyFont="1" applyBorder="1" applyAlignment="1" applyProtection="1">
      <alignment horizontal="left"/>
      <protection/>
    </xf>
    <xf numFmtId="173" fontId="13" fillId="0" borderId="0" xfId="56" applyNumberFormat="1" applyFont="1" applyBorder="1" applyAlignment="1" applyProtection="1">
      <alignment horizontal="left" vertical="center"/>
      <protection/>
    </xf>
    <xf numFmtId="173" fontId="17" fillId="25" borderId="0" xfId="56" applyNumberFormat="1" applyFont="1" applyFill="1" applyBorder="1" applyAlignment="1" applyProtection="1">
      <alignment vertical="center"/>
      <protection/>
    </xf>
    <xf numFmtId="173" fontId="17" fillId="25" borderId="144" xfId="56" applyNumberFormat="1" applyFont="1" applyFill="1" applyBorder="1" applyAlignment="1" applyProtection="1">
      <alignment vertical="center"/>
      <protection/>
    </xf>
    <xf numFmtId="173" fontId="41" fillId="0" borderId="0" xfId="56" applyNumberFormat="1" applyBorder="1" applyAlignment="1" applyProtection="1">
      <alignment horizontal="left"/>
      <protection/>
    </xf>
    <xf numFmtId="173" fontId="13" fillId="25" borderId="0" xfId="56" applyNumberFormat="1" applyFont="1" applyFill="1" applyBorder="1" applyAlignment="1" applyProtection="1">
      <alignment vertical="center"/>
      <protection/>
    </xf>
    <xf numFmtId="2" fontId="13" fillId="25" borderId="97" xfId="56" applyNumberFormat="1" applyFont="1" applyFill="1" applyBorder="1" applyAlignment="1" applyProtection="1">
      <alignment vertical="center"/>
      <protection/>
    </xf>
    <xf numFmtId="2" fontId="13" fillId="25" borderId="144" xfId="56" applyNumberFormat="1" applyFont="1" applyFill="1" applyBorder="1" applyAlignment="1" applyProtection="1">
      <alignment vertical="center"/>
      <protection/>
    </xf>
    <xf numFmtId="173" fontId="41" fillId="16" borderId="48" xfId="58" applyNumberFormat="1" applyFill="1" applyBorder="1" applyAlignment="1" applyProtection="1">
      <alignment horizontal="right" vertical="center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17" fillId="0" borderId="0" xfId="60" applyFont="1" applyBorder="1" applyAlignment="1" applyProtection="1">
      <alignment vertical="center" wrapText="1"/>
      <protection/>
    </xf>
    <xf numFmtId="173" fontId="41" fillId="0" borderId="0" xfId="58" applyNumberFormat="1" applyAlignment="1" applyProtection="1">
      <alignment horizontal="right" vertical="center"/>
      <protection/>
    </xf>
    <xf numFmtId="0" fontId="24" fillId="0" borderId="148" xfId="51" applyFont="1" applyBorder="1" applyProtection="1">
      <alignment/>
      <protection/>
    </xf>
    <xf numFmtId="0" fontId="0" fillId="0" borderId="148" xfId="51" applyBorder="1" applyProtection="1">
      <alignment/>
      <protection/>
    </xf>
    <xf numFmtId="0" fontId="0" fillId="0" borderId="64" xfId="51" applyBorder="1" applyProtection="1">
      <alignment/>
      <protection/>
    </xf>
    <xf numFmtId="0" fontId="24" fillId="0" borderId="0" xfId="51" applyFont="1" applyBorder="1" applyProtection="1">
      <alignment/>
      <protection/>
    </xf>
    <xf numFmtId="173" fontId="13" fillId="0" borderId="0" xfId="55" applyNumberFormat="1" applyFont="1" applyFill="1" applyBorder="1" applyAlignment="1" applyProtection="1">
      <alignment horizontal="left"/>
      <protection/>
    </xf>
    <xf numFmtId="173" fontId="13" fillId="0" borderId="0" xfId="55" applyNumberFormat="1" applyFont="1" applyFill="1" applyBorder="1" applyAlignment="1" applyProtection="1">
      <alignment horizontal="left" wrapText="1"/>
      <protection/>
    </xf>
    <xf numFmtId="173" fontId="13" fillId="0" borderId="0" xfId="55" applyNumberFormat="1" applyFont="1" applyFill="1" applyBorder="1" applyAlignment="1" applyProtection="1">
      <alignment horizontal="left" vertical="top"/>
      <protection/>
    </xf>
    <xf numFmtId="173" fontId="17" fillId="0" borderId="0" xfId="55" applyNumberFormat="1" applyFont="1" applyBorder="1" applyAlignment="1" applyProtection="1">
      <alignment vertical="center"/>
      <protection/>
    </xf>
    <xf numFmtId="173" fontId="41" fillId="0" borderId="0" xfId="55" applyNumberFormat="1" applyBorder="1" applyAlignment="1" applyProtection="1">
      <alignment vertical="center"/>
      <protection/>
    </xf>
    <xf numFmtId="173" fontId="13" fillId="0" borderId="0" xfId="55" applyNumberFormat="1" applyFont="1" applyBorder="1" applyAlignment="1" applyProtection="1">
      <alignment vertical="top"/>
      <protection/>
    </xf>
    <xf numFmtId="173" fontId="13" fillId="0" borderId="0" xfId="55" applyNumberFormat="1" applyFont="1" applyBorder="1" applyAlignment="1" applyProtection="1">
      <alignment vertical="center"/>
      <protection/>
    </xf>
    <xf numFmtId="173" fontId="13" fillId="0" borderId="144" xfId="55" applyNumberFormat="1" applyFont="1" applyBorder="1" applyAlignment="1" applyProtection="1">
      <alignment vertical="center"/>
      <protection/>
    </xf>
    <xf numFmtId="173" fontId="17" fillId="22" borderId="62" xfId="58" applyNumberFormat="1" applyFont="1" applyFill="1" applyBorder="1" applyAlignment="1" applyProtection="1">
      <alignment vertical="center"/>
      <protection/>
    </xf>
    <xf numFmtId="173" fontId="17" fillId="22" borderId="55" xfId="58" applyNumberFormat="1" applyFont="1" applyFill="1" applyBorder="1" applyAlignment="1" applyProtection="1">
      <alignment vertical="center"/>
      <protection/>
    </xf>
    <xf numFmtId="1" fontId="13" fillId="22" borderId="61" xfId="58" applyNumberFormat="1" applyFont="1" applyFill="1" applyBorder="1" applyAlignment="1" applyProtection="1">
      <alignment vertical="center"/>
      <protection/>
    </xf>
    <xf numFmtId="1" fontId="13" fillId="22" borderId="55" xfId="58" applyNumberFormat="1" applyFont="1" applyFill="1" applyBorder="1" applyAlignment="1" applyProtection="1">
      <alignment vertical="center"/>
      <protection/>
    </xf>
    <xf numFmtId="1" fontId="17" fillId="22" borderId="37" xfId="55" applyNumberFormat="1" applyFont="1" applyFill="1" applyBorder="1" applyAlignment="1" applyProtection="1">
      <alignment vertical="center"/>
      <protection locked="0"/>
    </xf>
    <xf numFmtId="173" fontId="41" fillId="0" borderId="0" xfId="55" applyBorder="1" applyAlignment="1" applyProtection="1">
      <alignment vertical="center"/>
      <protection/>
    </xf>
    <xf numFmtId="3" fontId="7" fillId="25" borderId="88" xfId="0" applyNumberFormat="1" applyFont="1" applyFill="1" applyBorder="1" applyAlignment="1" applyProtection="1">
      <alignment horizontal="center" wrapText="1"/>
      <protection locked="0"/>
    </xf>
    <xf numFmtId="3" fontId="7" fillId="25" borderId="37" xfId="0" applyNumberFormat="1" applyFont="1" applyFill="1" applyBorder="1" applyAlignment="1" applyProtection="1">
      <alignment wrapText="1"/>
      <protection locked="0"/>
    </xf>
    <xf numFmtId="3" fontId="7" fillId="25" borderId="37" xfId="0" applyNumberFormat="1" applyFont="1" applyFill="1" applyBorder="1" applyAlignment="1" applyProtection="1">
      <alignment/>
      <protection locked="0"/>
    </xf>
    <xf numFmtId="3" fontId="7" fillId="25" borderId="88" xfId="0" applyNumberFormat="1" applyFont="1" applyFill="1" applyBorder="1" applyAlignment="1" applyProtection="1">
      <alignment/>
      <protection locked="0"/>
    </xf>
    <xf numFmtId="3" fontId="7" fillId="25" borderId="84" xfId="0" applyNumberFormat="1" applyFont="1" applyFill="1" applyBorder="1" applyAlignment="1" applyProtection="1">
      <alignment/>
      <protection locked="0"/>
    </xf>
    <xf numFmtId="3" fontId="7" fillId="25" borderId="88" xfId="0" applyNumberFormat="1" applyFont="1" applyFill="1" applyBorder="1" applyAlignment="1" applyProtection="1">
      <alignment horizontal="right"/>
      <protection locked="0"/>
    </xf>
    <xf numFmtId="3" fontId="7" fillId="25" borderId="149" xfId="0" applyNumberFormat="1" applyFont="1" applyFill="1" applyBorder="1" applyAlignment="1" applyProtection="1">
      <alignment horizontal="right"/>
      <protection locked="0"/>
    </xf>
    <xf numFmtId="3" fontId="7" fillId="25" borderId="56" xfId="0" applyNumberFormat="1" applyFont="1" applyFill="1" applyBorder="1" applyAlignment="1" applyProtection="1">
      <alignment/>
      <protection locked="0"/>
    </xf>
    <xf numFmtId="3" fontId="7" fillId="25" borderId="149" xfId="0" applyNumberFormat="1" applyFont="1" applyFill="1" applyBorder="1" applyAlignment="1" applyProtection="1">
      <alignment/>
      <protection locked="0"/>
    </xf>
    <xf numFmtId="3" fontId="7" fillId="25" borderId="150" xfId="0" applyNumberFormat="1" applyFont="1" applyFill="1" applyBorder="1" applyAlignment="1" applyProtection="1">
      <alignment/>
      <protection locked="0"/>
    </xf>
    <xf numFmtId="200" fontId="7" fillId="25" borderId="72" xfId="0" applyNumberFormat="1" applyFont="1" applyFill="1" applyBorder="1" applyAlignment="1">
      <alignment horizontal="right"/>
    </xf>
    <xf numFmtId="200" fontId="7" fillId="25" borderId="55" xfId="0" applyNumberFormat="1" applyFont="1" applyFill="1" applyBorder="1" applyAlignment="1">
      <alignment horizontal="right"/>
    </xf>
    <xf numFmtId="200" fontId="7" fillId="25" borderId="52" xfId="0" applyNumberFormat="1" applyFont="1" applyFill="1" applyBorder="1" applyAlignment="1">
      <alignment horizontal="right"/>
    </xf>
    <xf numFmtId="3" fontId="6" fillId="0" borderId="86" xfId="62" applyNumberFormat="1" applyFont="1" applyFill="1" applyBorder="1" applyProtection="1">
      <alignment/>
      <protection locked="0"/>
    </xf>
    <xf numFmtId="3" fontId="0" fillId="0" borderId="89" xfId="0" applyNumberFormat="1" applyBorder="1" applyAlignment="1" applyProtection="1">
      <alignment/>
      <protection locked="0"/>
    </xf>
    <xf numFmtId="3" fontId="6" fillId="0" borderId="52" xfId="62" applyNumberFormat="1" applyFont="1" applyFill="1" applyBorder="1" applyProtection="1">
      <alignment/>
      <protection locked="0"/>
    </xf>
    <xf numFmtId="3" fontId="0" fillId="0" borderId="88" xfId="0" applyNumberFormat="1" applyBorder="1" applyAlignment="1" applyProtection="1">
      <alignment/>
      <protection locked="0"/>
    </xf>
    <xf numFmtId="3" fontId="0" fillId="0" borderId="87" xfId="0" applyNumberFormat="1" applyBorder="1" applyAlignment="1" applyProtection="1">
      <alignment/>
      <protection locked="0"/>
    </xf>
    <xf numFmtId="200" fontId="0" fillId="0" borderId="116" xfId="0" applyNumberFormat="1" applyBorder="1" applyAlignment="1">
      <alignment/>
    </xf>
    <xf numFmtId="0" fontId="17" fillId="0" borderId="0" xfId="60" applyBorder="1" applyAlignment="1" applyProtection="1">
      <alignment/>
      <protection/>
    </xf>
    <xf numFmtId="173" fontId="52" fillId="0" borderId="63" xfId="58" applyNumberFormat="1" applyFont="1" applyBorder="1" applyAlignment="1" applyProtection="1">
      <alignment horizontal="right"/>
      <protection/>
    </xf>
    <xf numFmtId="173" fontId="52" fillId="25" borderId="63" xfId="58" applyNumberFormat="1" applyFont="1" applyFill="1" applyBorder="1" applyAlignment="1" applyProtection="1">
      <alignment horizontal="right"/>
      <protection/>
    </xf>
    <xf numFmtId="173" fontId="13" fillId="0" borderId="24" xfId="56" applyNumberFormat="1" applyFont="1" applyFill="1" applyBorder="1" applyAlignment="1" applyProtection="1">
      <alignment horizontal="left"/>
      <protection/>
    </xf>
    <xf numFmtId="173" fontId="17" fillId="0" borderId="148" xfId="58" applyNumberFormat="1" applyFont="1" applyFill="1" applyBorder="1" applyAlignment="1" applyProtection="1">
      <alignment vertical="center"/>
      <protection/>
    </xf>
    <xf numFmtId="173" fontId="17" fillId="0" borderId="97" xfId="58" applyNumberFormat="1" applyFont="1" applyFill="1" applyBorder="1" applyAlignment="1" applyProtection="1">
      <alignment vertical="center"/>
      <protection/>
    </xf>
    <xf numFmtId="173" fontId="52" fillId="0" borderId="63" xfId="56" applyNumberFormat="1" applyFont="1" applyFill="1" applyBorder="1" applyAlignment="1" applyProtection="1">
      <alignment horizontal="right" vertical="center"/>
      <protection/>
    </xf>
    <xf numFmtId="173" fontId="41" fillId="0" borderId="63" xfId="58" applyNumberFormat="1" applyBorder="1" applyAlignment="1" applyProtection="1">
      <alignment horizontal="right" vertical="center"/>
      <protection/>
    </xf>
    <xf numFmtId="2" fontId="17" fillId="0" borderId="93" xfId="58" applyNumberFormat="1" applyFont="1" applyFill="1" applyBorder="1" applyAlignment="1" applyProtection="1">
      <alignment/>
      <protection/>
    </xf>
    <xf numFmtId="0" fontId="100" fillId="0" borderId="0" xfId="58" applyNumberFormat="1" applyFont="1" applyAlignment="1" applyProtection="1">
      <alignment horizontal="center" vertical="center"/>
      <protection hidden="1" locked="0"/>
    </xf>
    <xf numFmtId="173" fontId="41" fillId="0" borderId="144" xfId="58" applyNumberFormat="1" applyBorder="1" applyAlignment="1" applyProtection="1">
      <alignment vertical="center"/>
      <protection/>
    </xf>
    <xf numFmtId="0" fontId="0" fillId="0" borderId="64" xfId="51" applyBorder="1" applyAlignment="1" applyProtection="1">
      <alignment wrapText="1"/>
      <protection/>
    </xf>
    <xf numFmtId="173" fontId="17" fillId="0" borderId="65" xfId="58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06" fillId="0" borderId="0" xfId="58" applyNumberFormat="1" applyFont="1" applyAlignment="1" applyProtection="1">
      <alignment horizontal="center" vertical="center"/>
      <protection hidden="1" locked="0"/>
    </xf>
    <xf numFmtId="173" fontId="41" fillId="0" borderId="0" xfId="58" applyNumberFormat="1" applyFont="1" applyAlignment="1" applyProtection="1">
      <alignment horizontal="center" vertical="center"/>
      <protection hidden="1" locked="0"/>
    </xf>
    <xf numFmtId="173" fontId="41" fillId="0" borderId="0" xfId="56" applyNumberFormat="1" applyFont="1" applyAlignment="1" applyProtection="1">
      <alignment horizontal="center" vertical="center"/>
      <protection locked="0"/>
    </xf>
    <xf numFmtId="0" fontId="88" fillId="0" borderId="144" xfId="54" applyFont="1" applyBorder="1" applyAlignment="1" applyProtection="1">
      <alignment wrapText="1"/>
      <protection/>
    </xf>
    <xf numFmtId="173" fontId="63" fillId="0" borderId="0" xfId="58" applyNumberFormat="1" applyFont="1" applyAlignment="1" applyProtection="1">
      <alignment vertical="center"/>
      <protection/>
    </xf>
    <xf numFmtId="173" fontId="41" fillId="0" borderId="0" xfId="58" applyNumberFormat="1" applyFont="1" applyAlignment="1" applyProtection="1">
      <alignment vertical="center"/>
      <protection/>
    </xf>
    <xf numFmtId="198" fontId="41" fillId="0" borderId="0" xfId="58" applyNumberFormat="1" applyFont="1" applyAlignment="1" applyProtection="1">
      <alignment vertical="center"/>
      <protection locked="0"/>
    </xf>
    <xf numFmtId="198" fontId="41" fillId="0" borderId="0" xfId="58" applyNumberFormat="1" applyFont="1" applyAlignment="1" applyProtection="1">
      <alignment vertical="top"/>
      <protection locked="0"/>
    </xf>
    <xf numFmtId="173" fontId="41" fillId="0" borderId="0" xfId="58" applyNumberFormat="1" applyAlignment="1" applyProtection="1">
      <alignment vertical="top"/>
      <protection hidden="1" locked="0"/>
    </xf>
    <xf numFmtId="173" fontId="42" fillId="0" borderId="0" xfId="58" applyNumberFormat="1" applyFont="1" applyAlignment="1" applyProtection="1">
      <alignment vertical="center"/>
      <protection locked="0"/>
    </xf>
    <xf numFmtId="173" fontId="42" fillId="0" borderId="0" xfId="58" applyNumberFormat="1" applyFont="1" applyAlignment="1" applyProtection="1">
      <alignment vertical="center"/>
      <protection hidden="1" locked="0"/>
    </xf>
    <xf numFmtId="173" fontId="41" fillId="0" borderId="0" xfId="58" applyNumberFormat="1" applyAlignment="1" applyProtection="1">
      <alignment vertical="center"/>
      <protection locked="0"/>
    </xf>
    <xf numFmtId="173" fontId="41" fillId="0" borderId="0" xfId="58" applyNumberFormat="1" applyAlignment="1" applyProtection="1">
      <alignment/>
      <protection locked="0"/>
    </xf>
    <xf numFmtId="173" fontId="41" fillId="0" borderId="0" xfId="58" applyNumberFormat="1" applyAlignment="1" applyProtection="1">
      <alignment/>
      <protection hidden="1" locked="0"/>
    </xf>
    <xf numFmtId="0" fontId="17" fillId="0" borderId="0" xfId="60" applyAlignment="1" applyProtection="1">
      <alignment/>
      <protection locked="0"/>
    </xf>
    <xf numFmtId="0" fontId="17" fillId="0" borderId="0" xfId="60" applyAlignment="1" applyProtection="1">
      <alignment/>
      <protection hidden="1" locked="0"/>
    </xf>
    <xf numFmtId="173" fontId="41" fillId="0" borderId="0" xfId="58" applyNumberFormat="1" applyBorder="1" applyAlignment="1" applyProtection="1">
      <alignment/>
      <protection locked="0"/>
    </xf>
    <xf numFmtId="173" fontId="41" fillId="0" borderId="0" xfId="58" applyNumberFormat="1" applyBorder="1" applyAlignment="1" applyProtection="1">
      <alignment/>
      <protection hidden="1" locked="0"/>
    </xf>
    <xf numFmtId="173" fontId="41" fillId="0" borderId="0" xfId="58" applyNumberFormat="1" applyBorder="1" applyAlignment="1" applyProtection="1">
      <alignment vertical="center"/>
      <protection locked="0"/>
    </xf>
    <xf numFmtId="173" fontId="41" fillId="0" borderId="0" xfId="58" applyNumberFormat="1" applyBorder="1" applyAlignment="1" applyProtection="1">
      <alignment vertical="center"/>
      <protection hidden="1" locked="0"/>
    </xf>
    <xf numFmtId="173" fontId="52" fillId="0" borderId="24" xfId="58" applyNumberFormat="1" applyFont="1" applyBorder="1" applyAlignment="1" applyProtection="1">
      <alignment horizontal="right"/>
      <protection locked="0"/>
    </xf>
    <xf numFmtId="173" fontId="52" fillId="0" borderId="0" xfId="58" applyNumberFormat="1" applyFont="1" applyBorder="1" applyAlignment="1" applyProtection="1">
      <alignment horizontal="right"/>
      <protection locked="0"/>
    </xf>
    <xf numFmtId="173" fontId="41" fillId="0" borderId="0" xfId="56" applyNumberFormat="1" applyAlignment="1" applyProtection="1">
      <alignment vertical="center"/>
      <protection locked="0"/>
    </xf>
    <xf numFmtId="173" fontId="24" fillId="0" borderId="0" xfId="56" applyNumberFormat="1" applyFont="1" applyAlignment="1" applyProtection="1">
      <alignment horizontal="left"/>
      <protection locked="0"/>
    </xf>
    <xf numFmtId="0" fontId="70" fillId="0" borderId="0" xfId="51" applyNumberFormat="1" applyFont="1" applyAlignment="1" applyProtection="1">
      <alignment vertical="center" wrapText="1"/>
      <protection locked="0"/>
    </xf>
    <xf numFmtId="0" fontId="71" fillId="0" borderId="0" xfId="51" applyNumberFormat="1" applyFont="1" applyBorder="1" applyAlignment="1" applyProtection="1">
      <alignment vertical="center"/>
      <protection locked="0"/>
    </xf>
    <xf numFmtId="0" fontId="80" fillId="0" borderId="0" xfId="54" applyAlignment="1" applyProtection="1">
      <alignment vertical="center"/>
      <protection locked="0"/>
    </xf>
    <xf numFmtId="0" fontId="80" fillId="0" borderId="0" xfId="54" applyBorder="1" applyAlignment="1" applyProtection="1">
      <alignment vertical="center"/>
      <protection locked="0"/>
    </xf>
    <xf numFmtId="0" fontId="71" fillId="0" borderId="0" xfId="51" applyNumberFormat="1" applyFont="1" applyAlignment="1" applyProtection="1">
      <alignment vertical="center" wrapText="1"/>
      <protection locked="0"/>
    </xf>
    <xf numFmtId="0" fontId="70" fillId="0" borderId="0" xfId="51" applyFont="1" applyAlignment="1" applyProtection="1">
      <alignment horizontal="center" vertical="center" wrapText="1"/>
      <protection locked="0"/>
    </xf>
    <xf numFmtId="0" fontId="71" fillId="0" borderId="24" xfId="51" applyNumberFormat="1" applyFont="1" applyBorder="1" applyAlignment="1" applyProtection="1">
      <alignment vertical="center"/>
      <protection locked="0"/>
    </xf>
    <xf numFmtId="0" fontId="80" fillId="0" borderId="24" xfId="54" applyBorder="1" applyAlignment="1" applyProtection="1">
      <alignment vertical="center"/>
      <protection locked="0"/>
    </xf>
    <xf numFmtId="173" fontId="24" fillId="0" borderId="0" xfId="56" applyNumberFormat="1" applyFont="1" applyFill="1" applyBorder="1" applyAlignment="1" applyProtection="1">
      <alignment vertical="center"/>
      <protection locked="0"/>
    </xf>
    <xf numFmtId="0" fontId="70" fillId="0" borderId="0" xfId="51" applyNumberFormat="1" applyFont="1" applyBorder="1" applyAlignment="1" applyProtection="1">
      <alignment vertical="center"/>
      <protection locked="0"/>
    </xf>
    <xf numFmtId="0" fontId="70" fillId="0" borderId="0" xfId="51" applyNumberFormat="1" applyFont="1" applyAlignment="1" applyProtection="1">
      <alignment vertical="center"/>
      <protection locked="0"/>
    </xf>
    <xf numFmtId="173" fontId="24" fillId="0" borderId="0" xfId="58" applyNumberFormat="1" applyFont="1" applyAlignment="1" applyProtection="1">
      <alignment horizontal="center" vertical="center"/>
      <protection locked="0"/>
    </xf>
    <xf numFmtId="173" fontId="24" fillId="0" borderId="0" xfId="58" applyNumberFormat="1" applyFont="1" applyFill="1" applyBorder="1" applyAlignment="1" applyProtection="1">
      <alignment horizontal="center" vertical="center"/>
      <protection locked="0"/>
    </xf>
    <xf numFmtId="173" fontId="24" fillId="0" borderId="0" xfId="58" applyNumberFormat="1" applyFont="1" applyAlignment="1" applyProtection="1">
      <alignment vertical="center"/>
      <protection locked="0"/>
    </xf>
    <xf numFmtId="173" fontId="41" fillId="0" borderId="0" xfId="58" applyNumberFormat="1" applyFont="1" applyAlignment="1" applyProtection="1">
      <alignment vertical="center"/>
      <protection locked="0"/>
    </xf>
    <xf numFmtId="173" fontId="41" fillId="0" borderId="0" xfId="58" applyNumberFormat="1" applyFont="1" applyAlignment="1" applyProtection="1">
      <alignment vertical="center"/>
      <protection hidden="1" locked="0"/>
    </xf>
    <xf numFmtId="173" fontId="63" fillId="0" borderId="0" xfId="58" applyNumberFormat="1" applyFont="1" applyAlignment="1" applyProtection="1">
      <alignment vertical="center"/>
      <protection locked="0"/>
    </xf>
    <xf numFmtId="173" fontId="63" fillId="0" borderId="0" xfId="58" applyNumberFormat="1" applyFont="1" applyAlignment="1" applyProtection="1">
      <alignment vertical="center"/>
      <protection hidden="1" locked="0"/>
    </xf>
    <xf numFmtId="173" fontId="41" fillId="0" borderId="24" xfId="58" applyNumberFormat="1" applyFill="1" applyBorder="1" applyAlignment="1" applyProtection="1">
      <alignment vertical="center"/>
      <protection locked="0"/>
    </xf>
    <xf numFmtId="173" fontId="41" fillId="0" borderId="0" xfId="58" applyNumberFormat="1" applyFill="1" applyBorder="1" applyAlignment="1" applyProtection="1">
      <alignment vertical="center"/>
      <protection hidden="1" locked="0"/>
    </xf>
    <xf numFmtId="1" fontId="13" fillId="25" borderId="0" xfId="58" applyNumberFormat="1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 horizontal="left" vertical="center" wrapText="1"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108" fillId="0" borderId="37" xfId="0" applyFont="1" applyFill="1" applyBorder="1" applyAlignment="1" applyProtection="1">
      <alignment horizontal="center" vertical="center" wrapText="1"/>
      <protection/>
    </xf>
    <xf numFmtId="207" fontId="6" fillId="0" borderId="37" xfId="0" applyNumberFormat="1" applyFont="1" applyFill="1" applyBorder="1" applyAlignment="1" applyProtection="1">
      <alignment horizontal="center"/>
      <protection/>
    </xf>
    <xf numFmtId="207" fontId="6" fillId="0" borderId="37" xfId="46" applyNumberFormat="1" applyFont="1" applyBorder="1" applyAlignment="1">
      <alignment/>
    </xf>
    <xf numFmtId="206" fontId="6" fillId="0" borderId="37" xfId="0" applyNumberFormat="1" applyFont="1" applyBorder="1" applyAlignment="1">
      <alignment/>
    </xf>
    <xf numFmtId="206" fontId="9" fillId="0" borderId="37" xfId="0" applyNumberFormat="1" applyFont="1" applyBorder="1" applyAlignment="1">
      <alignment/>
    </xf>
    <xf numFmtId="206" fontId="109" fillId="0" borderId="37" xfId="0" applyNumberFormat="1" applyFont="1" applyBorder="1" applyAlignment="1">
      <alignment/>
    </xf>
    <xf numFmtId="173" fontId="41" fillId="0" borderId="0" xfId="58" applyNumberFormat="1" applyFont="1" applyAlignment="1" applyProtection="1">
      <alignment horizontal="center" vertical="top"/>
      <protection hidden="1" locked="0"/>
    </xf>
    <xf numFmtId="173" fontId="41" fillId="0" borderId="0" xfId="58" applyNumberFormat="1" applyFont="1" applyAlignment="1" applyProtection="1">
      <alignment horizontal="center"/>
      <protection hidden="1" locked="0"/>
    </xf>
    <xf numFmtId="0" fontId="41" fillId="0" borderId="0" xfId="60" applyFont="1" applyAlignment="1" applyProtection="1">
      <alignment horizontal="center"/>
      <protection hidden="1" locked="0"/>
    </xf>
    <xf numFmtId="173" fontId="41" fillId="0" borderId="0" xfId="58" applyNumberFormat="1" applyFont="1" applyBorder="1" applyAlignment="1" applyProtection="1">
      <alignment horizontal="center"/>
      <protection hidden="1" locked="0"/>
    </xf>
    <xf numFmtId="173" fontId="41" fillId="0" borderId="0" xfId="58" applyNumberFormat="1" applyFont="1" applyBorder="1" applyAlignment="1" applyProtection="1">
      <alignment horizontal="center" vertical="center"/>
      <protection hidden="1" locked="0"/>
    </xf>
    <xf numFmtId="173" fontId="41" fillId="0" borderId="0" xfId="58" applyNumberFormat="1" applyFont="1" applyBorder="1" applyAlignment="1" applyProtection="1">
      <alignment horizontal="center" vertical="center"/>
      <protection locked="0"/>
    </xf>
    <xf numFmtId="173" fontId="41" fillId="0" borderId="0" xfId="56" applyNumberFormat="1" applyFont="1" applyAlignment="1" applyProtection="1">
      <alignment horizontal="center"/>
      <protection locked="0"/>
    </xf>
    <xf numFmtId="173" fontId="41" fillId="0" borderId="0" xfId="56" applyNumberFormat="1" applyFont="1" applyFill="1" applyBorder="1" applyAlignment="1" applyProtection="1">
      <alignment horizontal="center" vertical="center"/>
      <protection locked="0"/>
    </xf>
    <xf numFmtId="173" fontId="41" fillId="0" borderId="0" xfId="58" applyNumberFormat="1" applyFill="1" applyBorder="1" applyAlignment="1" applyProtection="1">
      <alignment/>
      <protection locked="0"/>
    </xf>
    <xf numFmtId="173" fontId="52" fillId="25" borderId="0" xfId="55" applyFont="1" applyFill="1" applyAlignment="1" applyProtection="1">
      <alignment vertical="center"/>
      <protection/>
    </xf>
    <xf numFmtId="173" fontId="17" fillId="25" borderId="0" xfId="55" applyFont="1" applyFill="1" applyBorder="1" applyAlignment="1" applyProtection="1">
      <alignment vertical="center"/>
      <protection/>
    </xf>
    <xf numFmtId="173" fontId="52" fillId="25" borderId="125" xfId="55" applyFont="1" applyFill="1" applyBorder="1" applyAlignment="1" applyProtection="1">
      <alignment vertical="center"/>
      <protection/>
    </xf>
    <xf numFmtId="173" fontId="17" fillId="25" borderId="125" xfId="55" applyFont="1" applyFill="1" applyBorder="1" applyAlignment="1" applyProtection="1">
      <alignment vertical="center"/>
      <protection/>
    </xf>
    <xf numFmtId="173" fontId="17" fillId="25" borderId="0" xfId="55" applyFont="1" applyFill="1" applyBorder="1" applyAlignment="1" applyProtection="1">
      <alignment horizontal="left" vertical="center"/>
      <protection/>
    </xf>
    <xf numFmtId="173" fontId="59" fillId="25" borderId="144" xfId="55" applyFont="1" applyFill="1" applyBorder="1" applyAlignment="1" applyProtection="1">
      <alignment horizontal="center" vertical="center"/>
      <protection/>
    </xf>
    <xf numFmtId="173" fontId="52" fillId="25" borderId="85" xfId="55" applyFont="1" applyFill="1" applyBorder="1" applyAlignment="1" applyProtection="1">
      <alignment vertical="center"/>
      <protection/>
    </xf>
    <xf numFmtId="173" fontId="17" fillId="25" borderId="85" xfId="55" applyFont="1" applyFill="1" applyBorder="1" applyAlignment="1" applyProtection="1">
      <alignment vertical="center"/>
      <protection/>
    </xf>
    <xf numFmtId="173" fontId="17" fillId="25" borderId="0" xfId="55" applyFont="1" applyFill="1" applyAlignment="1" applyProtection="1">
      <alignment vertical="center"/>
      <protection/>
    </xf>
    <xf numFmtId="173" fontId="22" fillId="25" borderId="93" xfId="55" applyFont="1" applyFill="1" applyBorder="1" applyAlignment="1" applyProtection="1">
      <alignment horizontal="center" vertical="center"/>
      <protection/>
    </xf>
    <xf numFmtId="173" fontId="17" fillId="25" borderId="0" xfId="55" applyFont="1" applyFill="1" applyBorder="1" applyAlignment="1" applyProtection="1">
      <alignment vertical="top"/>
      <protection/>
    </xf>
    <xf numFmtId="173" fontId="17" fillId="22" borderId="37" xfId="55" applyFont="1" applyFill="1" applyBorder="1" applyAlignment="1" applyProtection="1">
      <alignment vertical="center"/>
      <protection/>
    </xf>
    <xf numFmtId="173" fontId="17" fillId="0" borderId="0" xfId="55" applyFont="1" applyFill="1" applyBorder="1" applyAlignment="1" applyProtection="1">
      <alignment vertical="center"/>
      <protection/>
    </xf>
    <xf numFmtId="0" fontId="0" fillId="22" borderId="61" xfId="0" applyFill="1" applyBorder="1" applyAlignment="1" applyProtection="1">
      <alignment vertical="center"/>
      <protection/>
    </xf>
    <xf numFmtId="173" fontId="22" fillId="25" borderId="85" xfId="55" applyFont="1" applyFill="1" applyBorder="1" applyAlignment="1" applyProtection="1">
      <alignment horizontal="center" vertical="center"/>
      <protection/>
    </xf>
    <xf numFmtId="0" fontId="19" fillId="0" borderId="148" xfId="66" applyFont="1" applyFill="1" applyBorder="1" applyAlignment="1" applyProtection="1">
      <alignment horizontal="centerContinuous" vertical="center"/>
      <protection/>
    </xf>
    <xf numFmtId="3" fontId="6" fillId="0" borderId="58" xfId="66" applyNumberFormat="1" applyFont="1" applyFill="1" applyBorder="1" applyProtection="1">
      <alignment/>
      <protection locked="0"/>
    </xf>
    <xf numFmtId="3" fontId="6" fillId="0" borderId="93" xfId="66" applyNumberFormat="1" applyFont="1" applyFill="1" applyBorder="1" applyProtection="1">
      <alignment/>
      <protection locked="0"/>
    </xf>
    <xf numFmtId="3" fontId="6" fillId="0" borderId="148" xfId="66" applyNumberFormat="1" applyFont="1" applyFill="1" applyBorder="1" applyProtection="1">
      <alignment/>
      <protection locked="0"/>
    </xf>
    <xf numFmtId="200" fontId="6" fillId="25" borderId="135" xfId="66" applyNumberFormat="1" applyFont="1" applyFill="1" applyBorder="1">
      <alignment/>
      <protection/>
    </xf>
    <xf numFmtId="0" fontId="19" fillId="0" borderId="151" xfId="66" applyFont="1" applyFill="1" applyBorder="1" applyAlignment="1" applyProtection="1">
      <alignment horizontal="centerContinuous" vertical="center"/>
      <protection/>
    </xf>
    <xf numFmtId="0" fontId="20" fillId="0" borderId="35" xfId="66" applyFont="1" applyFill="1" applyBorder="1" applyAlignment="1" applyProtection="1">
      <alignment horizontal="center"/>
      <protection/>
    </xf>
    <xf numFmtId="3" fontId="6" fillId="0" borderId="39" xfId="66" applyNumberFormat="1" applyFont="1" applyFill="1" applyBorder="1" applyProtection="1">
      <alignment/>
      <protection locked="0"/>
    </xf>
    <xf numFmtId="3" fontId="6" fillId="0" borderId="94" xfId="66" applyNumberFormat="1" applyFont="1" applyFill="1" applyBorder="1" applyProtection="1">
      <alignment/>
      <protection locked="0"/>
    </xf>
    <xf numFmtId="3" fontId="6" fillId="0" borderId="151" xfId="66" applyNumberFormat="1" applyFont="1" applyFill="1" applyBorder="1" applyProtection="1">
      <alignment/>
      <protection locked="0"/>
    </xf>
    <xf numFmtId="200" fontId="6" fillId="25" borderId="54" xfId="66" applyNumberFormat="1" applyFont="1" applyFill="1" applyBorder="1">
      <alignment/>
      <protection/>
    </xf>
    <xf numFmtId="3" fontId="6" fillId="0" borderId="152" xfId="66" applyNumberFormat="1" applyFont="1" applyFill="1" applyBorder="1" applyProtection="1">
      <alignment/>
      <protection locked="0"/>
    </xf>
    <xf numFmtId="3" fontId="6" fillId="0" borderId="87" xfId="66" applyNumberFormat="1" applyFont="1" applyFill="1" applyBorder="1" applyProtection="1">
      <alignment/>
      <protection locked="0"/>
    </xf>
    <xf numFmtId="0" fontId="20" fillId="0" borderId="122" xfId="66" applyFont="1" applyFill="1" applyBorder="1" applyAlignment="1" applyProtection="1">
      <alignment horizontal="center"/>
      <protection/>
    </xf>
    <xf numFmtId="200" fontId="6" fillId="25" borderId="153" xfId="66" applyNumberFormat="1" applyFont="1" applyFill="1" applyBorder="1">
      <alignment/>
      <protection/>
    </xf>
    <xf numFmtId="200" fontId="6" fillId="25" borderId="138" xfId="66" applyNumberFormat="1" applyFont="1" applyFill="1" applyBorder="1">
      <alignment/>
      <protection/>
    </xf>
    <xf numFmtId="200" fontId="6" fillId="25" borderId="154" xfId="66" applyNumberFormat="1" applyFont="1" applyFill="1" applyBorder="1">
      <alignment/>
      <protection/>
    </xf>
    <xf numFmtId="173" fontId="13" fillId="22" borderId="37" xfId="58" applyNumberFormat="1" applyFont="1" applyFill="1" applyBorder="1" applyAlignment="1" applyProtection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/>
    </xf>
    <xf numFmtId="0" fontId="14" fillId="0" borderId="23" xfId="62" applyFont="1" applyFill="1" applyBorder="1" applyAlignment="1" applyProtection="1">
      <alignment horizontal="center" vertical="center"/>
      <protection/>
    </xf>
    <xf numFmtId="0" fontId="20" fillId="0" borderId="95" xfId="61" applyFont="1" applyFill="1" applyBorder="1" applyAlignment="1" applyProtection="1">
      <alignment horizontal="center"/>
      <protection/>
    </xf>
    <xf numFmtId="0" fontId="20" fillId="0" borderId="155" xfId="61" applyFont="1" applyFill="1" applyBorder="1" applyAlignment="1" applyProtection="1">
      <alignment horizontal="center"/>
      <protection/>
    </xf>
    <xf numFmtId="0" fontId="20" fillId="0" borderId="156" xfId="61" applyFont="1" applyFill="1" applyBorder="1" applyAlignment="1" applyProtection="1">
      <alignment horizontal="center"/>
      <protection/>
    </xf>
    <xf numFmtId="0" fontId="20" fillId="0" borderId="95" xfId="62" applyFont="1" applyFill="1" applyBorder="1" applyAlignment="1" applyProtection="1">
      <alignment horizontal="center"/>
      <protection/>
    </xf>
    <xf numFmtId="0" fontId="20" fillId="0" borderId="155" xfId="62" applyFont="1" applyFill="1" applyBorder="1" applyAlignment="1" applyProtection="1">
      <alignment horizontal="center"/>
      <protection/>
    </xf>
    <xf numFmtId="0" fontId="20" fillId="0" borderId="156" xfId="62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73" fontId="13" fillId="0" borderId="0" xfId="55" applyFont="1" applyFill="1" applyAlignment="1" applyProtection="1">
      <alignment vertical="center" wrapText="1"/>
      <protection/>
    </xf>
    <xf numFmtId="173" fontId="22" fillId="25" borderId="148" xfId="55" applyFont="1" applyFill="1" applyBorder="1" applyAlignment="1" applyProtection="1">
      <alignment horizontal="center" vertical="center"/>
      <protection/>
    </xf>
    <xf numFmtId="173" fontId="68" fillId="25" borderId="144" xfId="55" applyFont="1" applyFill="1" applyBorder="1" applyAlignment="1" applyProtection="1">
      <alignment horizontal="center" vertical="center" wrapText="1"/>
      <protection/>
    </xf>
    <xf numFmtId="1" fontId="13" fillId="22" borderId="37" xfId="55" applyNumberFormat="1" applyFont="1" applyFill="1" applyBorder="1" applyAlignment="1" applyProtection="1">
      <alignment vertical="center"/>
      <protection/>
    </xf>
    <xf numFmtId="3" fontId="0" fillId="0" borderId="114" xfId="0" applyNumberFormat="1" applyFill="1" applyBorder="1" applyAlignment="1" applyProtection="1">
      <alignment/>
      <protection locked="0"/>
    </xf>
    <xf numFmtId="200" fontId="9" fillId="0" borderId="134" xfId="0" applyNumberFormat="1" applyFont="1" applyFill="1" applyBorder="1" applyAlignment="1" applyProtection="1">
      <alignment vertical="center"/>
      <protection/>
    </xf>
    <xf numFmtId="0" fontId="8" fillId="0" borderId="157" xfId="0" applyFont="1" applyFill="1" applyBorder="1" applyAlignment="1" applyProtection="1">
      <alignment/>
      <protection/>
    </xf>
    <xf numFmtId="0" fontId="8" fillId="0" borderId="42" xfId="0" applyFont="1" applyFill="1" applyBorder="1" applyAlignment="1" applyProtection="1">
      <alignment horizontal="right"/>
      <protection/>
    </xf>
    <xf numFmtId="3" fontId="0" fillId="0" borderId="114" xfId="0" applyNumberFormat="1" applyBorder="1" applyAlignment="1" applyProtection="1">
      <alignment/>
      <protection locked="0"/>
    </xf>
    <xf numFmtId="0" fontId="6" fillId="0" borderId="157" xfId="0" applyFont="1" applyFill="1" applyBorder="1" applyAlignment="1" applyProtection="1">
      <alignment/>
      <protection/>
    </xf>
    <xf numFmtId="0" fontId="36" fillId="0" borderId="128" xfId="0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left"/>
      <protection/>
    </xf>
    <xf numFmtId="0" fontId="15" fillId="0" borderId="98" xfId="0" applyFont="1" applyFill="1" applyBorder="1" applyAlignment="1" applyProtection="1">
      <alignment horizontal="center"/>
      <protection/>
    </xf>
    <xf numFmtId="3" fontId="0" fillId="0" borderId="83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3" fontId="0" fillId="0" borderId="44" xfId="0" applyNumberFormat="1" applyBorder="1" applyAlignment="1" applyProtection="1">
      <alignment/>
      <protection/>
    </xf>
    <xf numFmtId="0" fontId="27" fillId="0" borderId="23" xfId="0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15" fillId="0" borderId="125" xfId="0" applyFont="1" applyFill="1" applyBorder="1" applyAlignment="1" applyProtection="1">
      <alignment horizontal="center"/>
      <protection/>
    </xf>
    <xf numFmtId="3" fontId="0" fillId="0" borderId="158" xfId="0" applyNumberFormat="1" applyBorder="1" applyAlignment="1" applyProtection="1">
      <alignment/>
      <protection/>
    </xf>
    <xf numFmtId="0" fontId="15" fillId="0" borderId="147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25" xfId="0" applyFont="1" applyBorder="1" applyAlignment="1" applyProtection="1">
      <alignment horizontal="center"/>
      <protection/>
    </xf>
    <xf numFmtId="3" fontId="37" fillId="0" borderId="128" xfId="0" applyNumberFormat="1" applyFont="1" applyBorder="1" applyAlignment="1" applyProtection="1">
      <alignment/>
      <protection/>
    </xf>
    <xf numFmtId="173" fontId="44" fillId="26" borderId="93" xfId="58" applyNumberFormat="1" applyFont="1" applyFill="1" applyBorder="1" applyAlignment="1" applyProtection="1">
      <alignment horizontal="left" vertical="center" wrapText="1"/>
      <protection/>
    </xf>
    <xf numFmtId="173" fontId="13" fillId="0" borderId="0" xfId="58" applyNumberFormat="1" applyFont="1" applyBorder="1" applyAlignment="1" applyProtection="1">
      <alignment vertical="center" wrapText="1"/>
      <protection/>
    </xf>
    <xf numFmtId="173" fontId="22" fillId="0" borderId="0" xfId="58" applyNumberFormat="1" applyFont="1" applyBorder="1" applyAlignment="1" applyProtection="1">
      <alignment horizontal="right" vertical="center" wrapText="1"/>
      <protection/>
    </xf>
    <xf numFmtId="173" fontId="22" fillId="0" borderId="0" xfId="58" applyNumberFormat="1" applyFont="1" applyBorder="1" applyAlignment="1" applyProtection="1">
      <alignment vertical="center" wrapText="1"/>
      <protection/>
    </xf>
    <xf numFmtId="173" fontId="105" fillId="0" borderId="0" xfId="56" applyNumberFormat="1" applyFont="1" applyAlignment="1" applyProtection="1">
      <alignment vertical="center" wrapText="1"/>
      <protection/>
    </xf>
    <xf numFmtId="2" fontId="13" fillId="25" borderId="65" xfId="56" applyNumberFormat="1" applyFont="1" applyFill="1" applyBorder="1" applyAlignment="1" applyProtection="1">
      <alignment vertical="center"/>
      <protection/>
    </xf>
    <xf numFmtId="173" fontId="52" fillId="0" borderId="85" xfId="58" applyNumberFormat="1" applyFont="1" applyBorder="1" applyAlignment="1" applyProtection="1">
      <alignment horizontal="right" vertical="center"/>
      <protection/>
    </xf>
    <xf numFmtId="173" fontId="24" fillId="0" borderId="85" xfId="58" applyNumberFormat="1" applyFont="1" applyBorder="1" applyAlignment="1" applyProtection="1">
      <alignment vertical="center"/>
      <protection/>
    </xf>
    <xf numFmtId="173" fontId="13" fillId="25" borderId="37" xfId="58" applyNumberFormat="1" applyFont="1" applyFill="1" applyBorder="1" applyAlignment="1" applyProtection="1">
      <alignment vertical="center"/>
      <protection locked="0"/>
    </xf>
    <xf numFmtId="2" fontId="13" fillId="22" borderId="37" xfId="58" applyNumberFormat="1" applyFont="1" applyFill="1" applyBorder="1" applyAlignment="1" applyProtection="1">
      <alignment vertical="center"/>
      <protection locked="0"/>
    </xf>
    <xf numFmtId="173" fontId="17" fillId="16" borderId="37" xfId="58" applyNumberFormat="1" applyFont="1" applyFill="1" applyBorder="1" applyAlignment="1" applyProtection="1">
      <alignment vertical="center"/>
      <protection/>
    </xf>
    <xf numFmtId="173" fontId="13" fillId="16" borderId="37" xfId="58" applyNumberFormat="1" applyFont="1" applyFill="1" applyBorder="1" applyAlignment="1" applyProtection="1">
      <alignment vertical="center"/>
      <protection/>
    </xf>
    <xf numFmtId="173" fontId="52" fillId="0" borderId="0" xfId="56" applyNumberFormat="1" applyFont="1" applyBorder="1" applyAlignment="1" applyProtection="1">
      <alignment horizontal="right" vertical="center"/>
      <protection/>
    </xf>
    <xf numFmtId="0" fontId="66" fillId="0" borderId="0" xfId="51" applyFont="1" applyBorder="1" applyAlignment="1" applyProtection="1">
      <alignment horizontal="right" vertical="center" wrapText="1"/>
      <protection/>
    </xf>
    <xf numFmtId="173" fontId="13" fillId="0" borderId="0" xfId="55" applyNumberFormat="1" applyFont="1" applyFill="1" applyBorder="1" applyAlignment="1" applyProtection="1">
      <alignment horizontal="left" vertical="center"/>
      <protection/>
    </xf>
    <xf numFmtId="173" fontId="13" fillId="0" borderId="148" xfId="58" applyNumberFormat="1" applyFont="1" applyFill="1" applyBorder="1" applyAlignment="1" applyProtection="1">
      <alignment horizontal="left" wrapText="1"/>
      <protection/>
    </xf>
    <xf numFmtId="2" fontId="17" fillId="0" borderId="148" xfId="58" applyNumberFormat="1" applyFont="1" applyFill="1" applyBorder="1" applyAlignment="1" applyProtection="1">
      <alignment/>
      <protection/>
    </xf>
    <xf numFmtId="173" fontId="52" fillId="0" borderId="148" xfId="58" applyNumberFormat="1" applyFont="1" applyBorder="1" applyAlignment="1" applyProtection="1">
      <alignment horizontal="right"/>
      <protection/>
    </xf>
    <xf numFmtId="0" fontId="24" fillId="0" borderId="85" xfId="51" applyFont="1" applyBorder="1" applyProtection="1">
      <alignment/>
      <protection/>
    </xf>
    <xf numFmtId="173" fontId="17" fillId="0" borderId="85" xfId="58" applyNumberFormat="1" applyFont="1" applyFill="1" applyBorder="1" applyAlignment="1" applyProtection="1">
      <alignment vertical="center"/>
      <protection/>
    </xf>
    <xf numFmtId="0" fontId="88" fillId="0" borderId="0" xfId="54" applyFont="1" applyAlignment="1" applyProtection="1">
      <alignment vertical="center" wrapText="1"/>
      <protection locked="0"/>
    </xf>
    <xf numFmtId="0" fontId="17" fillId="0" borderId="0" xfId="60" applyAlignment="1" applyProtection="1">
      <alignment vertical="center"/>
      <protection locked="0"/>
    </xf>
    <xf numFmtId="0" fontId="17" fillId="0" borderId="0" xfId="60" applyAlignment="1" applyProtection="1">
      <alignment vertical="center"/>
      <protection hidden="1" locked="0"/>
    </xf>
    <xf numFmtId="0" fontId="19" fillId="0" borderId="126" xfId="0" applyNumberFormat="1" applyFont="1" applyFill="1" applyBorder="1" applyAlignment="1" applyProtection="1">
      <alignment horizontal="center" vertical="center" wrapText="1"/>
      <protection/>
    </xf>
    <xf numFmtId="0" fontId="19" fillId="0" borderId="126" xfId="0" applyFont="1" applyFill="1" applyBorder="1" applyAlignment="1" applyProtection="1">
      <alignment horizontal="center" vertical="center" wrapText="1"/>
      <protection/>
    </xf>
    <xf numFmtId="0" fontId="19" fillId="0" borderId="126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 applyProtection="1">
      <alignment horizontal="left"/>
      <protection/>
    </xf>
    <xf numFmtId="3" fontId="6" fillId="25" borderId="80" xfId="0" applyNumberFormat="1" applyFont="1" applyFill="1" applyBorder="1" applyAlignment="1">
      <alignment horizontal="center"/>
    </xf>
    <xf numFmtId="0" fontId="9" fillId="0" borderId="159" xfId="0" applyFont="1" applyFill="1" applyBorder="1" applyAlignment="1" applyProtection="1">
      <alignment horizontal="center"/>
      <protection/>
    </xf>
    <xf numFmtId="3" fontId="9" fillId="0" borderId="128" xfId="0" applyNumberFormat="1" applyFont="1" applyBorder="1" applyAlignment="1">
      <alignment horizontal="center"/>
    </xf>
    <xf numFmtId="1" fontId="6" fillId="25" borderId="80" xfId="0" applyNumberFormat="1" applyFont="1" applyFill="1" applyBorder="1" applyAlignment="1">
      <alignment horizontal="center"/>
    </xf>
    <xf numFmtId="49" fontId="17" fillId="22" borderId="48" xfId="55" applyNumberFormat="1" applyFont="1" applyFill="1" applyBorder="1" applyAlignment="1" applyProtection="1">
      <alignment horizontal="left" vertical="center"/>
      <protection locked="0"/>
    </xf>
    <xf numFmtId="49" fontId="17" fillId="22" borderId="37" xfId="55" applyNumberFormat="1" applyFont="1" applyFill="1" applyBorder="1" applyAlignment="1" applyProtection="1">
      <alignment horizontal="left" vertical="center"/>
      <protection locked="0"/>
    </xf>
    <xf numFmtId="49" fontId="17" fillId="22" borderId="55" xfId="52" applyNumberFormat="1" applyFont="1" applyFill="1" applyBorder="1" applyAlignment="1" applyProtection="1">
      <alignment horizontal="left" vertical="center"/>
      <protection locked="0"/>
    </xf>
    <xf numFmtId="49" fontId="17" fillId="22" borderId="48" xfId="0" applyNumberFormat="1" applyFont="1" applyFill="1" applyBorder="1" applyAlignment="1" applyProtection="1">
      <alignment horizontal="left" vertical="center"/>
      <protection locked="0"/>
    </xf>
    <xf numFmtId="49" fontId="17" fillId="22" borderId="37" xfId="52" applyNumberFormat="1" applyFont="1" applyFill="1" applyBorder="1" applyAlignment="1" applyProtection="1">
      <alignment horizontal="left" vertical="center"/>
      <protection locked="0"/>
    </xf>
    <xf numFmtId="49" fontId="17" fillId="22" borderId="37" xfId="0" applyNumberFormat="1" applyFont="1" applyFill="1" applyBorder="1" applyAlignment="1" applyProtection="1">
      <alignment horizontal="left"/>
      <protection locked="0"/>
    </xf>
    <xf numFmtId="49" fontId="17" fillId="0" borderId="48" xfId="0" applyNumberFormat="1" applyFont="1" applyBorder="1" applyAlignment="1" applyProtection="1">
      <alignment horizontal="left" vertical="center"/>
      <protection locked="0"/>
    </xf>
    <xf numFmtId="49" fontId="17" fillId="0" borderId="65" xfId="0" applyNumberFormat="1" applyFont="1" applyBorder="1" applyAlignment="1" applyProtection="1">
      <alignment horizontal="left" vertical="center"/>
      <protection locked="0"/>
    </xf>
    <xf numFmtId="173" fontId="13" fillId="25" borderId="0" xfId="55" applyFont="1" applyFill="1" applyBorder="1" applyAlignment="1" applyProtection="1">
      <alignment horizontal="left" vertical="center" wrapText="1"/>
      <protection/>
    </xf>
    <xf numFmtId="0" fontId="110" fillId="16" borderId="48" xfId="0" applyFont="1" applyFill="1" applyBorder="1" applyAlignment="1">
      <alignment horizontal="center" vertical="center" readingOrder="1"/>
    </xf>
    <xf numFmtId="0" fontId="110" fillId="16" borderId="93" xfId="0" applyFont="1" applyFill="1" applyBorder="1" applyAlignment="1">
      <alignment horizontal="center" vertical="center" readingOrder="1"/>
    </xf>
    <xf numFmtId="0" fontId="110" fillId="16" borderId="65" xfId="0" applyFont="1" applyFill="1" applyBorder="1" applyAlignment="1">
      <alignment horizontal="center" vertical="center" readingOrder="1"/>
    </xf>
    <xf numFmtId="173" fontId="13" fillId="0" borderId="0" xfId="55" applyFont="1" applyAlignment="1" applyProtection="1">
      <alignment horizontal="left" vertical="center" wrapText="1"/>
      <protection/>
    </xf>
    <xf numFmtId="173" fontId="13" fillId="0" borderId="144" xfId="55" applyFont="1" applyBorder="1" applyAlignment="1" applyProtection="1">
      <alignment horizontal="left" vertical="center" wrapText="1"/>
      <protection/>
    </xf>
    <xf numFmtId="173" fontId="13" fillId="0" borderId="0" xfId="55" applyFont="1" applyFill="1" applyAlignment="1" applyProtection="1">
      <alignment horizontal="left" vertical="center" wrapText="1"/>
      <protection/>
    </xf>
    <xf numFmtId="173" fontId="13" fillId="0" borderId="144" xfId="55" applyFont="1" applyFill="1" applyBorder="1" applyAlignment="1" applyProtection="1">
      <alignment horizontal="left" vertical="center" wrapText="1"/>
      <protection/>
    </xf>
    <xf numFmtId="49" fontId="17" fillId="0" borderId="48" xfId="0" applyNumberFormat="1" applyFont="1" applyBorder="1" applyAlignment="1" applyProtection="1">
      <alignment horizontal="left" vertical="center"/>
      <protection locked="0"/>
    </xf>
    <xf numFmtId="49" fontId="17" fillId="0" borderId="147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148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97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24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144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63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85" xfId="52" applyNumberFormat="1" applyFont="1" applyFill="1" applyBorder="1" applyAlignment="1" applyProtection="1">
      <alignment horizontal="left" vertical="center" wrapText="1"/>
      <protection locked="0"/>
    </xf>
    <xf numFmtId="49" fontId="17" fillId="0" borderId="64" xfId="52" applyNumberFormat="1" applyFont="1" applyFill="1" applyBorder="1" applyAlignment="1" applyProtection="1">
      <alignment horizontal="left" vertical="center" wrapText="1"/>
      <protection locked="0"/>
    </xf>
    <xf numFmtId="0" fontId="104" fillId="16" borderId="48" xfId="0" applyFont="1" applyFill="1" applyBorder="1" applyAlignment="1">
      <alignment horizontal="center" vertical="center" wrapText="1" readingOrder="1"/>
    </xf>
    <xf numFmtId="0" fontId="104" fillId="16" borderId="93" xfId="0" applyFont="1" applyFill="1" applyBorder="1" applyAlignment="1">
      <alignment horizontal="center" vertical="center" wrapText="1" readingOrder="1"/>
    </xf>
    <xf numFmtId="0" fontId="104" fillId="16" borderId="65" xfId="0" applyFont="1" applyFill="1" applyBorder="1" applyAlignment="1">
      <alignment horizontal="center" vertical="center" wrapText="1" readingOrder="1"/>
    </xf>
    <xf numFmtId="49" fontId="17" fillId="22" borderId="48" xfId="55" applyNumberFormat="1" applyFont="1" applyFill="1" applyBorder="1" applyAlignment="1" applyProtection="1">
      <alignment horizontal="left" vertical="center"/>
      <protection locked="0"/>
    </xf>
    <xf numFmtId="49" fontId="17" fillId="22" borderId="65" xfId="55" applyNumberFormat="1" applyFont="1" applyFill="1" applyBorder="1" applyAlignment="1" applyProtection="1">
      <alignment horizontal="left" vertical="center"/>
      <protection locked="0"/>
    </xf>
    <xf numFmtId="49" fontId="17" fillId="0" borderId="48" xfId="55" applyNumberFormat="1" applyFont="1" applyBorder="1" applyAlignment="1" applyProtection="1">
      <alignment horizontal="left" vertical="center"/>
      <protection locked="0"/>
    </xf>
    <xf numFmtId="49" fontId="17" fillId="0" borderId="65" xfId="55" applyNumberFormat="1" applyFont="1" applyBorder="1" applyAlignment="1" applyProtection="1">
      <alignment horizontal="left" vertical="center"/>
      <protection locked="0"/>
    </xf>
    <xf numFmtId="173" fontId="13" fillId="0" borderId="0" xfId="55" applyFont="1" applyFill="1" applyAlignment="1" applyProtection="1">
      <alignment horizontal="left" vertical="center"/>
      <protection/>
    </xf>
    <xf numFmtId="173" fontId="13" fillId="0" borderId="144" xfId="55" applyFont="1" applyFill="1" applyBorder="1" applyAlignment="1" applyProtection="1">
      <alignment horizontal="left" vertical="center"/>
      <protection/>
    </xf>
    <xf numFmtId="49" fontId="17" fillId="22" borderId="48" xfId="52" applyNumberFormat="1" applyFont="1" applyFill="1" applyBorder="1" applyAlignment="1" applyProtection="1">
      <alignment horizontal="left" vertical="center"/>
      <protection locked="0"/>
    </xf>
    <xf numFmtId="49" fontId="17" fillId="22" borderId="93" xfId="52" applyNumberFormat="1" applyFont="1" applyFill="1" applyBorder="1" applyAlignment="1" applyProtection="1">
      <alignment horizontal="left" vertical="center"/>
      <protection locked="0"/>
    </xf>
    <xf numFmtId="173" fontId="60" fillId="0" borderId="0" xfId="55" applyFont="1" applyAlignment="1" applyProtection="1">
      <alignment horizontal="center" vertical="center" wrapText="1"/>
      <protection/>
    </xf>
    <xf numFmtId="173" fontId="60" fillId="0" borderId="85" xfId="55" applyFont="1" applyBorder="1" applyAlignment="1" applyProtection="1">
      <alignment horizontal="center" vertical="center" wrapText="1"/>
      <protection/>
    </xf>
    <xf numFmtId="49" fontId="17" fillId="22" borderId="65" xfId="52" applyNumberFormat="1" applyFont="1" applyFill="1" applyBorder="1" applyAlignment="1" applyProtection="1">
      <alignment horizontal="left" vertical="center"/>
      <protection locked="0"/>
    </xf>
    <xf numFmtId="173" fontId="44" fillId="0" borderId="0" xfId="55" applyFont="1" applyFill="1" applyBorder="1" applyAlignment="1" applyProtection="1">
      <alignment horizontal="left" vertical="center"/>
      <protection/>
    </xf>
    <xf numFmtId="49" fontId="17" fillId="0" borderId="48" xfId="52" applyNumberFormat="1" applyFont="1" applyFill="1" applyBorder="1" applyAlignment="1" applyProtection="1">
      <alignment horizontal="left" vertical="center"/>
      <protection locked="0"/>
    </xf>
    <xf numFmtId="49" fontId="17" fillId="0" borderId="93" xfId="52" applyNumberFormat="1" applyFont="1" applyFill="1" applyBorder="1" applyAlignment="1" applyProtection="1">
      <alignment horizontal="left" vertical="center"/>
      <protection locked="0"/>
    </xf>
    <xf numFmtId="49" fontId="17" fillId="0" borderId="65" xfId="52" applyNumberFormat="1" applyFont="1" applyFill="1" applyBorder="1" applyAlignment="1" applyProtection="1">
      <alignment horizontal="left" vertical="center"/>
      <protection locked="0"/>
    </xf>
    <xf numFmtId="49" fontId="17" fillId="25" borderId="48" xfId="55" applyNumberFormat="1" applyFont="1" applyFill="1" applyBorder="1" applyAlignment="1" applyProtection="1">
      <alignment vertical="center"/>
      <protection locked="0"/>
    </xf>
    <xf numFmtId="49" fontId="0" fillId="25" borderId="93" xfId="0" applyNumberFormat="1" applyFill="1" applyBorder="1" applyAlignment="1" applyProtection="1">
      <alignment vertical="center"/>
      <protection locked="0"/>
    </xf>
    <xf numFmtId="49" fontId="0" fillId="25" borderId="65" xfId="0" applyNumberFormat="1" applyFill="1" applyBorder="1" applyAlignment="1" applyProtection="1">
      <alignment vertical="center"/>
      <protection locked="0"/>
    </xf>
    <xf numFmtId="173" fontId="8" fillId="0" borderId="0" xfId="55" applyFont="1" applyBorder="1" applyAlignment="1" applyProtection="1">
      <alignment horizontal="left" wrapText="1"/>
      <protection/>
    </xf>
    <xf numFmtId="173" fontId="22" fillId="0" borderId="0" xfId="55" applyFont="1" applyAlignment="1" applyProtection="1">
      <alignment horizontal="left" vertical="center" wrapText="1"/>
      <protection/>
    </xf>
    <xf numFmtId="173" fontId="22" fillId="0" borderId="144" xfId="55" applyFont="1" applyBorder="1" applyAlignment="1" applyProtection="1">
      <alignment horizontal="left" vertical="center" wrapText="1"/>
      <protection/>
    </xf>
    <xf numFmtId="173" fontId="8" fillId="0" borderId="148" xfId="55" applyFont="1" applyBorder="1" applyAlignment="1" applyProtection="1">
      <alignment horizontal="left" wrapText="1"/>
      <protection/>
    </xf>
    <xf numFmtId="173" fontId="72" fillId="25" borderId="0" xfId="55" applyFont="1" applyFill="1" applyAlignment="1" applyProtection="1">
      <alignment horizontal="center" vertical="center" wrapText="1"/>
      <protection/>
    </xf>
    <xf numFmtId="173" fontId="73" fillId="25" borderId="62" xfId="55" applyFont="1" applyFill="1" applyBorder="1" applyAlignment="1" applyProtection="1">
      <alignment horizontal="center" vertical="center" wrapText="1"/>
      <protection/>
    </xf>
    <xf numFmtId="173" fontId="31" fillId="25" borderId="62" xfId="55" applyFont="1" applyFill="1" applyBorder="1" applyAlignment="1" applyProtection="1">
      <alignment horizontal="center" vertical="center" wrapText="1"/>
      <protection/>
    </xf>
    <xf numFmtId="173" fontId="73" fillId="25" borderId="144" xfId="55" applyFont="1" applyFill="1" applyBorder="1" applyAlignment="1" applyProtection="1">
      <alignment horizontal="center" vertical="top" wrapText="1"/>
      <protection/>
    </xf>
    <xf numFmtId="0" fontId="0" fillId="0" borderId="144" xfId="0" applyBorder="1" applyAlignment="1">
      <alignment horizontal="center" vertical="top" wrapText="1"/>
    </xf>
    <xf numFmtId="173" fontId="22" fillId="25" borderId="0" xfId="55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2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22" fillId="25" borderId="0" xfId="55" applyFont="1" applyFill="1" applyBorder="1" applyAlignment="1" applyProtection="1">
      <alignment vertical="center" wrapText="1"/>
      <protection/>
    </xf>
    <xf numFmtId="173" fontId="79" fillId="25" borderId="0" xfId="55" applyFont="1" applyFill="1" applyBorder="1" applyAlignment="1" applyProtection="1">
      <alignment vertical="center"/>
      <protection/>
    </xf>
    <xf numFmtId="173" fontId="69" fillId="25" borderId="24" xfId="55" applyFont="1" applyFill="1" applyBorder="1" applyAlignment="1" applyProtection="1">
      <alignment horizontal="center" vertical="center" wrapText="1"/>
      <protection/>
    </xf>
    <xf numFmtId="173" fontId="69" fillId="25" borderId="144" xfId="55" applyFont="1" applyFill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 wrapText="1"/>
      <protection/>
    </xf>
    <xf numFmtId="0" fontId="22" fillId="0" borderId="144" xfId="0" applyFont="1" applyBorder="1" applyAlignment="1" applyProtection="1">
      <alignment horizontal="left" wrapText="1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44" xfId="0" applyFont="1" applyBorder="1" applyAlignment="1" applyProtection="1">
      <alignment horizontal="left"/>
      <protection/>
    </xf>
    <xf numFmtId="173" fontId="22" fillId="25" borderId="0" xfId="55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44" xfId="0" applyBorder="1" applyAlignment="1" applyProtection="1">
      <alignment vertical="center" wrapText="1"/>
      <protection/>
    </xf>
    <xf numFmtId="173" fontId="22" fillId="25" borderId="144" xfId="55" applyFont="1" applyFill="1" applyBorder="1" applyAlignment="1" applyProtection="1">
      <alignment horizontal="left" vertical="center" wrapText="1"/>
      <protection/>
    </xf>
    <xf numFmtId="173" fontId="59" fillId="25" borderId="24" xfId="55" applyFont="1" applyFill="1" applyBorder="1" applyAlignment="1" applyProtection="1">
      <alignment vertical="center"/>
      <protection/>
    </xf>
    <xf numFmtId="0" fontId="59" fillId="0" borderId="144" xfId="0" applyFont="1" applyBorder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44" xfId="0" applyFont="1" applyBorder="1" applyAlignment="1" applyProtection="1">
      <alignment horizontal="left" vertical="center"/>
      <protection/>
    </xf>
    <xf numFmtId="173" fontId="22" fillId="25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144" xfId="0" applyBorder="1" applyAlignment="1">
      <alignment vertical="top" wrapText="1"/>
    </xf>
    <xf numFmtId="173" fontId="59" fillId="25" borderId="24" xfId="36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wrapText="1"/>
      <protection/>
    </xf>
    <xf numFmtId="0" fontId="59" fillId="0" borderId="144" xfId="0" applyFont="1" applyBorder="1" applyAlignment="1" applyProtection="1">
      <alignment horizontal="center" wrapText="1"/>
      <protection/>
    </xf>
    <xf numFmtId="0" fontId="0" fillId="0" borderId="24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44" xfId="0" applyBorder="1" applyAlignment="1" applyProtection="1">
      <alignment wrapText="1"/>
      <protection/>
    </xf>
    <xf numFmtId="0" fontId="0" fillId="0" borderId="0" xfId="0" applyAlignment="1">
      <alignment/>
    </xf>
    <xf numFmtId="0" fontId="0" fillId="0" borderId="144" xfId="0" applyBorder="1" applyAlignment="1">
      <alignment/>
    </xf>
    <xf numFmtId="173" fontId="59" fillId="25" borderId="24" xfId="36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Alignment="1" applyProtection="1">
      <alignment horizontal="left" vertical="top" wrapText="1"/>
      <protection/>
    </xf>
    <xf numFmtId="0" fontId="59" fillId="0" borderId="144" xfId="0" applyFont="1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44" xfId="0" applyBorder="1" applyAlignment="1" applyProtection="1">
      <alignment horizontal="left" vertical="top" wrapText="1"/>
      <protection/>
    </xf>
    <xf numFmtId="0" fontId="74" fillId="0" borderId="144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173" fontId="22" fillId="0" borderId="0" xfId="56" applyNumberFormat="1" applyFont="1" applyFill="1" applyBorder="1" applyAlignment="1" applyProtection="1">
      <alignment horizontal="right" vertical="center" wrapText="1"/>
      <protection/>
    </xf>
    <xf numFmtId="0" fontId="102" fillId="0" borderId="0" xfId="54" applyFont="1" applyBorder="1" applyAlignment="1" applyProtection="1">
      <alignment vertical="center" wrapText="1"/>
      <protection/>
    </xf>
    <xf numFmtId="0" fontId="102" fillId="0" borderId="144" xfId="54" applyFont="1" applyBorder="1" applyAlignment="1" applyProtection="1">
      <alignment vertical="center" wrapText="1"/>
      <protection/>
    </xf>
    <xf numFmtId="173" fontId="22" fillId="0" borderId="0" xfId="56" applyNumberFormat="1" applyFont="1" applyFill="1" applyBorder="1" applyAlignment="1" applyProtection="1">
      <alignment horizontal="right"/>
      <protection/>
    </xf>
    <xf numFmtId="0" fontId="94" fillId="0" borderId="144" xfId="54" applyFont="1" applyBorder="1" applyAlignment="1" applyProtection="1">
      <alignment horizontal="right"/>
      <protection/>
    </xf>
    <xf numFmtId="0" fontId="69" fillId="0" borderId="0" xfId="54" applyFont="1" applyAlignment="1" applyProtection="1">
      <alignment vertical="center" wrapText="1"/>
      <protection/>
    </xf>
    <xf numFmtId="173" fontId="69" fillId="0" borderId="0" xfId="56" applyNumberFormat="1" applyFont="1" applyAlignment="1" applyProtection="1">
      <alignment vertical="center" wrapText="1"/>
      <protection/>
    </xf>
    <xf numFmtId="0" fontId="105" fillId="0" borderId="0" xfId="54" applyFont="1" applyAlignment="1" applyProtection="1">
      <alignment vertical="center" wrapText="1"/>
      <protection/>
    </xf>
    <xf numFmtId="173" fontId="105" fillId="0" borderId="0" xfId="56" applyNumberFormat="1" applyFont="1" applyAlignment="1" applyProtection="1">
      <alignment vertical="center" wrapText="1"/>
      <protection/>
    </xf>
    <xf numFmtId="0" fontId="22" fillId="0" borderId="0" xfId="60" applyFont="1" applyAlignment="1" applyProtection="1">
      <alignment horizontal="center" vertical="center" wrapText="1"/>
      <protection/>
    </xf>
    <xf numFmtId="173" fontId="13" fillId="0" borderId="0" xfId="58" applyNumberFormat="1" applyFont="1" applyFill="1" applyBorder="1" applyAlignment="1" applyProtection="1">
      <alignment horizontal="left" vertical="center" wrapText="1"/>
      <protection/>
    </xf>
    <xf numFmtId="173" fontId="13" fillId="0" borderId="144" xfId="58" applyNumberFormat="1" applyFont="1" applyFill="1" applyBorder="1" applyAlignment="1" applyProtection="1">
      <alignment horizontal="left" vertical="center" wrapText="1"/>
      <protection/>
    </xf>
    <xf numFmtId="173" fontId="69" fillId="0" borderId="0" xfId="58" applyNumberFormat="1" applyFont="1" applyAlignment="1" applyProtection="1">
      <alignment vertical="center" wrapText="1"/>
      <protection/>
    </xf>
    <xf numFmtId="173" fontId="22" fillId="0" borderId="85" xfId="56" applyNumberFormat="1" applyFont="1" applyFill="1" applyBorder="1" applyAlignment="1" applyProtection="1">
      <alignment horizontal="right"/>
      <protection/>
    </xf>
    <xf numFmtId="0" fontId="94" fillId="0" borderId="64" xfId="54" applyFont="1" applyBorder="1" applyAlignment="1" applyProtection="1">
      <alignment horizontal="right"/>
      <protection/>
    </xf>
    <xf numFmtId="173" fontId="13" fillId="0" borderId="147" xfId="58" applyNumberFormat="1" applyFont="1" applyBorder="1" applyAlignment="1" applyProtection="1">
      <alignment vertical="top" wrapText="1"/>
      <protection locked="0"/>
    </xf>
    <xf numFmtId="0" fontId="99" fillId="0" borderId="148" xfId="54" applyFont="1" applyBorder="1" applyAlignment="1" applyProtection="1">
      <alignment vertical="top" wrapText="1"/>
      <protection locked="0"/>
    </xf>
    <xf numFmtId="0" fontId="99" fillId="0" borderId="97" xfId="54" applyFont="1" applyBorder="1" applyAlignment="1" applyProtection="1">
      <alignment vertical="top" wrapText="1"/>
      <protection locked="0"/>
    </xf>
    <xf numFmtId="0" fontId="99" fillId="0" borderId="24" xfId="54" applyFont="1" applyBorder="1" applyAlignment="1" applyProtection="1">
      <alignment vertical="top" wrapText="1"/>
      <protection locked="0"/>
    </xf>
    <xf numFmtId="0" fontId="99" fillId="0" borderId="0" xfId="54" applyFont="1" applyAlignment="1" applyProtection="1">
      <alignment vertical="top" wrapText="1"/>
      <protection locked="0"/>
    </xf>
    <xf numFmtId="0" fontId="99" fillId="0" borderId="144" xfId="54" applyFont="1" applyBorder="1" applyAlignment="1" applyProtection="1">
      <alignment vertical="top" wrapText="1"/>
      <protection locked="0"/>
    </xf>
    <xf numFmtId="0" fontId="99" fillId="0" borderId="63" xfId="54" applyFont="1" applyBorder="1" applyAlignment="1" applyProtection="1">
      <alignment vertical="top" wrapText="1"/>
      <protection locked="0"/>
    </xf>
    <xf numFmtId="0" fontId="99" fillId="0" borderId="85" xfId="54" applyFont="1" applyBorder="1" applyAlignment="1" applyProtection="1">
      <alignment vertical="top" wrapText="1"/>
      <protection locked="0"/>
    </xf>
    <xf numFmtId="0" fontId="99" fillId="0" borderId="64" xfId="54" applyFont="1" applyBorder="1" applyAlignment="1" applyProtection="1">
      <alignment vertical="top" wrapText="1"/>
      <protection locked="0"/>
    </xf>
    <xf numFmtId="0" fontId="69" fillId="25" borderId="62" xfId="58" applyNumberFormat="1" applyFont="1" applyFill="1" applyBorder="1" applyAlignment="1" applyProtection="1">
      <alignment horizontal="center" vertical="center" wrapText="1"/>
      <protection/>
    </xf>
    <xf numFmtId="0" fontId="88" fillId="0" borderId="62" xfId="54" applyFont="1" applyBorder="1" applyAlignment="1" applyProtection="1">
      <alignment wrapText="1"/>
      <protection/>
    </xf>
    <xf numFmtId="0" fontId="69" fillId="25" borderId="61" xfId="58" applyNumberFormat="1" applyFont="1" applyFill="1" applyBorder="1" applyAlignment="1" applyProtection="1">
      <alignment horizontal="center" vertical="center" wrapText="1"/>
      <protection/>
    </xf>
    <xf numFmtId="0" fontId="80" fillId="0" borderId="62" xfId="54" applyBorder="1" applyAlignment="1" applyProtection="1">
      <alignment horizontal="center" wrapText="1"/>
      <protection/>
    </xf>
    <xf numFmtId="0" fontId="88" fillId="0" borderId="62" xfId="54" applyFont="1" applyBorder="1" applyAlignment="1" applyProtection="1">
      <alignment horizontal="center" wrapText="1"/>
      <protection/>
    </xf>
    <xf numFmtId="173" fontId="13" fillId="0" borderId="0" xfId="58" applyNumberFormat="1" applyFont="1" applyBorder="1" applyAlignment="1" applyProtection="1">
      <alignment horizontal="left" vertical="center" wrapText="1"/>
      <protection/>
    </xf>
    <xf numFmtId="173" fontId="13" fillId="0" borderId="144" xfId="58" applyNumberFormat="1" applyFont="1" applyBorder="1" applyAlignment="1" applyProtection="1">
      <alignment horizontal="left" vertical="center" wrapText="1"/>
      <protection/>
    </xf>
    <xf numFmtId="173" fontId="13" fillId="0" borderId="0" xfId="55" applyNumberFormat="1" applyFont="1" applyFill="1" applyBorder="1" applyAlignment="1" applyProtection="1">
      <alignment horizontal="left" vertical="center" wrapText="1"/>
      <protection/>
    </xf>
    <xf numFmtId="173" fontId="13" fillId="0" borderId="144" xfId="55" applyNumberFormat="1" applyFont="1" applyFill="1" applyBorder="1" applyAlignment="1" applyProtection="1">
      <alignment horizontal="left" vertical="center" wrapText="1"/>
      <protection/>
    </xf>
    <xf numFmtId="173" fontId="13" fillId="0" borderId="0" xfId="55" applyNumberFormat="1" applyFont="1" applyBorder="1" applyAlignment="1" applyProtection="1">
      <alignment horizontal="left" vertical="center" wrapText="1"/>
      <protection/>
    </xf>
    <xf numFmtId="173" fontId="13" fillId="0" borderId="144" xfId="55" applyNumberFormat="1" applyFont="1" applyBorder="1" applyAlignment="1" applyProtection="1">
      <alignment horizontal="left" vertical="center" wrapText="1"/>
      <protection/>
    </xf>
    <xf numFmtId="0" fontId="25" fillId="0" borderId="0" xfId="54" applyFont="1" applyAlignment="1" applyProtection="1">
      <alignment horizontal="center" vertical="center" wrapText="1"/>
      <protection/>
    </xf>
    <xf numFmtId="173" fontId="13" fillId="0" borderId="0" xfId="56" applyNumberFormat="1" applyFont="1" applyFill="1" applyBorder="1" applyAlignment="1" applyProtection="1">
      <alignment horizontal="left" vertical="center" wrapText="1"/>
      <protection/>
    </xf>
    <xf numFmtId="173" fontId="13" fillId="0" borderId="144" xfId="56" applyNumberFormat="1" applyFont="1" applyFill="1" applyBorder="1" applyAlignment="1" applyProtection="1">
      <alignment horizontal="left" vertical="center" wrapText="1"/>
      <protection/>
    </xf>
    <xf numFmtId="173" fontId="121" fillId="0" borderId="0" xfId="56" applyNumberFormat="1" applyFont="1" applyAlignment="1" applyProtection="1">
      <alignment horizontal="center" vertical="center"/>
      <protection/>
    </xf>
    <xf numFmtId="173" fontId="69" fillId="25" borderId="62" xfId="56" applyNumberFormat="1" applyFont="1" applyFill="1" applyBorder="1" applyAlignment="1" applyProtection="1">
      <alignment horizontal="center" vertical="center" wrapText="1"/>
      <protection/>
    </xf>
    <xf numFmtId="0" fontId="80" fillId="0" borderId="62" xfId="54" applyBorder="1" applyAlignment="1" applyProtection="1">
      <alignment horizontal="center" vertical="center" wrapText="1"/>
      <protection/>
    </xf>
    <xf numFmtId="0" fontId="103" fillId="0" borderId="148" xfId="54" applyFont="1" applyBorder="1" applyAlignment="1" applyProtection="1">
      <alignment vertical="top" wrapText="1"/>
      <protection locked="0"/>
    </xf>
    <xf numFmtId="0" fontId="103" fillId="0" borderId="97" xfId="54" applyFont="1" applyBorder="1" applyAlignment="1" applyProtection="1">
      <alignment vertical="top" wrapText="1"/>
      <protection locked="0"/>
    </xf>
    <xf numFmtId="0" fontId="103" fillId="0" borderId="24" xfId="54" applyFont="1" applyBorder="1" applyAlignment="1" applyProtection="1">
      <alignment vertical="top" wrapText="1"/>
      <protection locked="0"/>
    </xf>
    <xf numFmtId="0" fontId="103" fillId="0" borderId="0" xfId="54" applyFont="1" applyBorder="1" applyAlignment="1" applyProtection="1">
      <alignment vertical="top" wrapText="1"/>
      <protection locked="0"/>
    </xf>
    <xf numFmtId="0" fontId="103" fillId="0" borderId="144" xfId="54" applyFont="1" applyBorder="1" applyAlignment="1" applyProtection="1">
      <alignment vertical="top" wrapText="1"/>
      <protection locked="0"/>
    </xf>
    <xf numFmtId="0" fontId="103" fillId="0" borderId="63" xfId="54" applyFont="1" applyBorder="1" applyAlignment="1" applyProtection="1">
      <alignment vertical="top" wrapText="1"/>
      <protection locked="0"/>
    </xf>
    <xf numFmtId="0" fontId="103" fillId="0" borderId="85" xfId="54" applyFont="1" applyBorder="1" applyAlignment="1" applyProtection="1">
      <alignment vertical="top" wrapText="1"/>
      <protection locked="0"/>
    </xf>
    <xf numFmtId="0" fontId="103" fillId="0" borderId="64" xfId="54" applyFont="1" applyBorder="1" applyAlignment="1" applyProtection="1">
      <alignment vertical="top" wrapText="1"/>
      <protection locked="0"/>
    </xf>
    <xf numFmtId="0" fontId="69" fillId="25" borderId="61" xfId="58" applyNumberFormat="1" applyFont="1" applyFill="1" applyBorder="1" applyAlignment="1" applyProtection="1">
      <alignment vertical="center" wrapText="1"/>
      <protection/>
    </xf>
    <xf numFmtId="0" fontId="80" fillId="0" borderId="62" xfId="54" applyBorder="1" applyAlignment="1" applyProtection="1">
      <alignment wrapText="1"/>
      <protection/>
    </xf>
    <xf numFmtId="173" fontId="22" fillId="0" borderId="0" xfId="56" applyNumberFormat="1" applyFont="1" applyFill="1" applyBorder="1" applyAlignment="1" applyProtection="1">
      <alignment horizontal="right" vertical="center"/>
      <protection/>
    </xf>
    <xf numFmtId="0" fontId="94" fillId="0" borderId="144" xfId="54" applyFont="1" applyBorder="1" applyAlignment="1" applyProtection="1">
      <alignment horizontal="right" vertical="center"/>
      <protection/>
    </xf>
    <xf numFmtId="0" fontId="94" fillId="0" borderId="85" xfId="54" applyFont="1" applyBorder="1" applyAlignment="1" applyProtection="1">
      <alignment horizontal="right"/>
      <protection/>
    </xf>
    <xf numFmtId="173" fontId="13" fillId="0" borderId="0" xfId="58" applyNumberFormat="1" applyFont="1" applyFill="1" applyBorder="1" applyAlignment="1" applyProtection="1">
      <alignment horizontal="left" vertical="center"/>
      <protection/>
    </xf>
    <xf numFmtId="173" fontId="13" fillId="0" borderId="144" xfId="58" applyNumberFormat="1" applyFont="1" applyFill="1" applyBorder="1" applyAlignment="1" applyProtection="1">
      <alignment horizontal="left" vertical="center"/>
      <protection/>
    </xf>
    <xf numFmtId="173" fontId="13" fillId="0" borderId="0" xfId="56" applyNumberFormat="1" applyFont="1" applyBorder="1" applyAlignment="1" applyProtection="1">
      <alignment horizontal="left" vertical="center" wrapText="1"/>
      <protection/>
    </xf>
    <xf numFmtId="173" fontId="13" fillId="0" borderId="144" xfId="56" applyNumberFormat="1" applyFont="1" applyBorder="1" applyAlignment="1" applyProtection="1">
      <alignment horizontal="left" vertical="center" wrapText="1"/>
      <protection/>
    </xf>
    <xf numFmtId="173" fontId="13" fillId="0" borderId="0" xfId="57" applyNumberFormat="1" applyFont="1" applyFill="1" applyBorder="1" applyAlignment="1" applyProtection="1">
      <alignment horizontal="left" vertical="center" wrapText="1"/>
      <protection/>
    </xf>
    <xf numFmtId="173" fontId="13" fillId="0" borderId="144" xfId="57" applyNumberFormat="1" applyFont="1" applyFill="1" applyBorder="1" applyAlignment="1" applyProtection="1">
      <alignment horizontal="left" vertical="center" wrapText="1"/>
      <protection/>
    </xf>
    <xf numFmtId="173" fontId="13" fillId="0" borderId="0" xfId="55" applyNumberFormat="1" applyFont="1" applyBorder="1" applyAlignment="1" applyProtection="1">
      <alignment horizontal="left" vertical="center"/>
      <protection/>
    </xf>
    <xf numFmtId="173" fontId="13" fillId="0" borderId="144" xfId="55" applyNumberFormat="1" applyFont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38" xfId="0" applyFont="1" applyFill="1" applyBorder="1" applyAlignment="1" applyProtection="1">
      <alignment horizontal="center" vertical="center"/>
      <protection/>
    </xf>
    <xf numFmtId="0" fontId="25" fillId="0" borderId="1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4" fillId="0" borderId="160" xfId="0" applyFont="1" applyFill="1" applyBorder="1" applyAlignment="1" applyProtection="1">
      <alignment horizontal="center" vertical="center"/>
      <protection/>
    </xf>
    <xf numFmtId="0" fontId="14" fillId="0" borderId="161" xfId="0" applyFont="1" applyFill="1" applyBorder="1" applyAlignment="1" applyProtection="1">
      <alignment horizontal="center" vertical="center"/>
      <protection/>
    </xf>
    <xf numFmtId="0" fontId="14" fillId="0" borderId="46" xfId="0" applyFont="1" applyFill="1" applyBorder="1" applyAlignment="1" applyProtection="1">
      <alignment horizontal="center" vertical="center"/>
      <protection/>
    </xf>
    <xf numFmtId="0" fontId="14" fillId="0" borderId="127" xfId="0" applyFont="1" applyFill="1" applyBorder="1" applyAlignment="1" applyProtection="1">
      <alignment horizontal="center" vertical="center"/>
      <protection/>
    </xf>
    <xf numFmtId="0" fontId="25" fillId="0" borderId="125" xfId="0" applyFont="1" applyBorder="1" applyAlignment="1">
      <alignment horizontal="left" vertical="center" wrapText="1"/>
    </xf>
    <xf numFmtId="0" fontId="25" fillId="25" borderId="37" xfId="0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wrapText="1"/>
    </xf>
    <xf numFmtId="0" fontId="25" fillId="25" borderId="84" xfId="0" applyFont="1" applyFill="1" applyBorder="1" applyAlignment="1">
      <alignment horizontal="center" wrapText="1"/>
    </xf>
    <xf numFmtId="0" fontId="25" fillId="25" borderId="48" xfId="0" applyFont="1" applyFill="1" applyBorder="1" applyAlignment="1">
      <alignment horizontal="center" wrapText="1"/>
    </xf>
    <xf numFmtId="0" fontId="25" fillId="25" borderId="65" xfId="0" applyFont="1" applyFill="1" applyBorder="1" applyAlignment="1">
      <alignment horizontal="center" wrapText="1"/>
    </xf>
    <xf numFmtId="0" fontId="7" fillId="25" borderId="37" xfId="0" applyFont="1" applyFill="1" applyBorder="1" applyAlignment="1">
      <alignment horizontal="center" wrapText="1"/>
    </xf>
    <xf numFmtId="0" fontId="25" fillId="25" borderId="48" xfId="0" applyFont="1" applyFill="1" applyBorder="1" applyAlignment="1">
      <alignment horizontal="center" vertical="center" wrapText="1"/>
    </xf>
    <xf numFmtId="0" fontId="25" fillId="25" borderId="88" xfId="0" applyFont="1" applyFill="1" applyBorder="1" applyAlignment="1">
      <alignment horizontal="center" wrapText="1"/>
    </xf>
    <xf numFmtId="0" fontId="10" fillId="25" borderId="0" xfId="0" applyFont="1" applyFill="1" applyBorder="1" applyAlignment="1">
      <alignment horizontal="left" vertical="center"/>
    </xf>
    <xf numFmtId="0" fontId="25" fillId="25" borderId="89" xfId="0" applyFont="1" applyFill="1" applyBorder="1" applyAlignment="1">
      <alignment horizontal="center" vertical="center" wrapText="1"/>
    </xf>
    <xf numFmtId="0" fontId="25" fillId="25" borderId="60" xfId="0" applyFont="1" applyFill="1" applyBorder="1" applyAlignment="1">
      <alignment horizontal="center" vertical="center" wrapText="1"/>
    </xf>
    <xf numFmtId="0" fontId="25" fillId="25" borderId="86" xfId="0" applyFont="1" applyFill="1" applyBorder="1" applyAlignment="1">
      <alignment horizontal="center" vertical="center" wrapText="1"/>
    </xf>
    <xf numFmtId="0" fontId="25" fillId="25" borderId="88" xfId="0" applyFont="1" applyFill="1" applyBorder="1" applyAlignment="1">
      <alignment horizontal="center" vertical="center" wrapText="1"/>
    </xf>
    <xf numFmtId="0" fontId="25" fillId="25" borderId="84" xfId="0" applyFont="1" applyFill="1" applyBorder="1" applyAlignment="1">
      <alignment horizontal="center" vertical="center" wrapText="1"/>
    </xf>
    <xf numFmtId="0" fontId="21" fillId="25" borderId="18" xfId="61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21" fillId="25" borderId="46" xfId="61" applyFont="1" applyFill="1" applyBorder="1" applyAlignment="1" applyProtection="1">
      <alignment horizontal="center" vertical="center"/>
      <protection/>
    </xf>
    <xf numFmtId="0" fontId="9" fillId="25" borderId="40" xfId="62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0" fillId="0" borderId="38" xfId="0" applyBorder="1" applyAlignment="1">
      <alignment/>
    </xf>
    <xf numFmtId="0" fontId="21" fillId="25" borderId="45" xfId="61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136" xfId="0" applyFont="1" applyFill="1" applyBorder="1" applyAlignment="1" applyProtection="1">
      <alignment horizontal="center" vertical="center" wrapText="1"/>
      <protection/>
    </xf>
    <xf numFmtId="0" fontId="8" fillId="0" borderId="98" xfId="0" applyFont="1" applyFill="1" applyBorder="1" applyAlignment="1" applyProtection="1">
      <alignment horizontal="center" vertical="center"/>
      <protection/>
    </xf>
    <xf numFmtId="0" fontId="21" fillId="0" borderId="19" xfId="61" applyFont="1" applyFill="1" applyBorder="1" applyAlignment="1" applyProtection="1">
      <alignment horizontal="center" vertical="center" wrapText="1"/>
      <protection/>
    </xf>
    <xf numFmtId="0" fontId="21" fillId="0" borderId="20" xfId="61" applyFont="1" applyFill="1" applyBorder="1" applyAlignment="1" applyProtection="1">
      <alignment horizontal="center" vertical="center" wrapText="1"/>
      <protection/>
    </xf>
    <xf numFmtId="0" fontId="21" fillId="0" borderId="92" xfId="61" applyFont="1" applyFill="1" applyBorder="1" applyAlignment="1" applyProtection="1">
      <alignment horizontal="center" vertical="center" wrapText="1"/>
      <protection/>
    </xf>
    <xf numFmtId="0" fontId="21" fillId="0" borderId="94" xfId="61" applyFont="1" applyFill="1" applyBorder="1" applyAlignment="1" applyProtection="1">
      <alignment horizontal="center" vertical="center" wrapText="1"/>
      <protection/>
    </xf>
    <xf numFmtId="0" fontId="21" fillId="0" borderId="121" xfId="61" applyFont="1" applyFill="1" applyBorder="1" applyAlignment="1" applyProtection="1">
      <alignment horizontal="center" vertical="center" wrapText="1"/>
      <protection/>
    </xf>
    <xf numFmtId="0" fontId="21" fillId="0" borderId="76" xfId="61" applyFont="1" applyFill="1" applyBorder="1" applyAlignment="1" applyProtection="1">
      <alignment horizontal="center" vertical="center" wrapText="1"/>
      <protection/>
    </xf>
    <xf numFmtId="0" fontId="21" fillId="0" borderId="18" xfId="62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1" fillId="0" borderId="19" xfId="62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1" fillId="0" borderId="18" xfId="62" applyFont="1" applyFill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21" fillId="0" borderId="92" xfId="62" applyFont="1" applyFill="1" applyBorder="1" applyAlignment="1" applyProtection="1">
      <alignment horizontal="center" vertical="center" wrapText="1"/>
      <protection/>
    </xf>
    <xf numFmtId="0" fontId="21" fillId="0" borderId="94" xfId="62" applyFont="1" applyFill="1" applyBorder="1" applyAlignment="1" applyProtection="1">
      <alignment horizontal="center" vertical="center" wrapText="1"/>
      <protection/>
    </xf>
    <xf numFmtId="0" fontId="21" fillId="0" borderId="20" xfId="62" applyFont="1" applyFill="1" applyBorder="1" applyAlignment="1" applyProtection="1">
      <alignment horizontal="center" vertical="center" wrapText="1"/>
      <protection/>
    </xf>
    <xf numFmtId="0" fontId="21" fillId="0" borderId="92" xfId="62" applyFont="1" applyFill="1" applyBorder="1" applyAlignment="1" applyProtection="1">
      <alignment horizontal="center" vertical="center"/>
      <protection/>
    </xf>
    <xf numFmtId="0" fontId="21" fillId="0" borderId="76" xfId="62" applyFont="1" applyFill="1" applyBorder="1" applyAlignment="1" applyProtection="1">
      <alignment horizontal="center" vertical="center"/>
      <protection/>
    </xf>
    <xf numFmtId="0" fontId="9" fillId="0" borderId="18" xfId="63" applyFont="1" applyFill="1" applyBorder="1" applyAlignment="1" applyProtection="1">
      <alignment horizontal="center" vertical="center"/>
      <protection/>
    </xf>
    <xf numFmtId="0" fontId="9" fillId="0" borderId="39" xfId="63" applyFont="1" applyFill="1" applyBorder="1" applyAlignment="1" applyProtection="1">
      <alignment horizontal="center" vertical="center"/>
      <protection/>
    </xf>
    <xf numFmtId="0" fontId="9" fillId="0" borderId="18" xfId="64" applyFont="1" applyFill="1" applyBorder="1" applyAlignment="1" applyProtection="1">
      <alignment horizontal="center" vertical="center"/>
      <protection/>
    </xf>
    <xf numFmtId="0" fontId="9" fillId="0" borderId="47" xfId="64" applyFont="1" applyFill="1" applyBorder="1" applyAlignment="1" applyProtection="1">
      <alignment horizontal="center" vertical="center"/>
      <protection/>
    </xf>
    <xf numFmtId="0" fontId="9" fillId="0" borderId="39" xfId="64" applyFont="1" applyFill="1" applyBorder="1" applyAlignment="1" applyProtection="1">
      <alignment horizontal="center" vertical="center"/>
      <protection/>
    </xf>
    <xf numFmtId="0" fontId="18" fillId="0" borderId="162" xfId="65" applyFont="1" applyFill="1" applyBorder="1" applyAlignment="1" applyProtection="1">
      <alignment horizontal="center" vertical="center" wrapText="1"/>
      <protection/>
    </xf>
    <xf numFmtId="0" fontId="18" fillId="0" borderId="27" xfId="65" applyFont="1" applyFill="1" applyBorder="1" applyAlignment="1" applyProtection="1">
      <alignment horizontal="center" vertical="center" wrapText="1"/>
      <protection/>
    </xf>
    <xf numFmtId="0" fontId="57" fillId="0" borderId="0" xfId="0" applyFont="1" applyAlignment="1">
      <alignment horizontal="center" wrapText="1"/>
    </xf>
    <xf numFmtId="0" fontId="57" fillId="0" borderId="125" xfId="0" applyFont="1" applyBorder="1" applyAlignment="1">
      <alignment horizontal="center" wrapText="1"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18" fillId="0" borderId="92" xfId="66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Alignment="1">
      <alignment/>
    </xf>
    <xf numFmtId="0" fontId="18" fillId="0" borderId="19" xfId="66" applyFont="1" applyFill="1" applyBorder="1" applyAlignment="1" applyProtection="1">
      <alignment horizontal="center" vertical="center" wrapText="1"/>
      <protection/>
    </xf>
    <xf numFmtId="0" fontId="18" fillId="0" borderId="92" xfId="66" applyFont="1" applyFill="1" applyBorder="1" applyAlignment="1" applyProtection="1">
      <alignment horizontal="center" vertical="center" wrapText="1"/>
      <protection/>
    </xf>
    <xf numFmtId="0" fontId="18" fillId="0" borderId="94" xfId="66" applyFont="1" applyFill="1" applyBorder="1" applyAlignment="1" applyProtection="1">
      <alignment horizontal="center" vertical="center" wrapText="1"/>
      <protection/>
    </xf>
    <xf numFmtId="0" fontId="111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8" fillId="0" borderId="19" xfId="66" applyFont="1" applyBorder="1" applyAlignment="1">
      <alignment horizontal="center" vertical="center" wrapText="1"/>
      <protection/>
    </xf>
    <xf numFmtId="0" fontId="18" fillId="0" borderId="19" xfId="66" applyFont="1" applyFill="1" applyBorder="1" applyAlignment="1" applyProtection="1">
      <alignment horizontal="center" vertical="center"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98" xfId="0" applyFont="1" applyBorder="1" applyAlignment="1" applyProtection="1">
      <alignment horizontal="center" vertical="center" wrapText="1"/>
      <protection/>
    </xf>
    <xf numFmtId="0" fontId="40" fillId="0" borderId="83" xfId="0" applyFont="1" applyBorder="1" applyAlignment="1" applyProtection="1">
      <alignment horizontal="center" vertical="center" wrapText="1"/>
      <protection/>
    </xf>
    <xf numFmtId="0" fontId="40" fillId="0" borderId="23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0" fillId="0" borderId="44" xfId="0" applyFont="1" applyBorder="1" applyAlignment="1" applyProtection="1">
      <alignment horizontal="center" vertical="center" wrapText="1"/>
      <protection/>
    </xf>
    <xf numFmtId="0" fontId="40" fillId="0" borderId="16" xfId="0" applyFont="1" applyBorder="1" applyAlignment="1" applyProtection="1">
      <alignment horizontal="center" vertical="center" wrapText="1"/>
      <protection/>
    </xf>
    <xf numFmtId="0" fontId="40" fillId="0" borderId="125" xfId="0" applyFont="1" applyBorder="1" applyAlignment="1" applyProtection="1">
      <alignment horizontal="center" vertical="center" wrapText="1"/>
      <protection/>
    </xf>
    <xf numFmtId="0" fontId="40" fillId="0" borderId="158" xfId="0" applyFont="1" applyBorder="1" applyAlignment="1" applyProtection="1">
      <alignment horizontal="center" vertical="center" wrapText="1"/>
      <protection/>
    </xf>
    <xf numFmtId="0" fontId="34" fillId="0" borderId="10" xfId="0" applyFont="1" applyFill="1" applyBorder="1" applyAlignment="1" applyProtection="1">
      <alignment horizontal="center" vertical="center" wrapText="1"/>
      <protection/>
    </xf>
    <xf numFmtId="0" fontId="34" fillId="0" borderId="98" xfId="0" applyFont="1" applyFill="1" applyBorder="1" applyAlignment="1" applyProtection="1">
      <alignment horizontal="center" vertical="center" wrapText="1"/>
      <protection/>
    </xf>
    <xf numFmtId="0" fontId="34" fillId="0" borderId="83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25" xfId="0" applyFont="1" applyFill="1" applyBorder="1" applyAlignment="1" applyProtection="1">
      <alignment horizontal="center" vertical="center" wrapText="1"/>
      <protection/>
    </xf>
    <xf numFmtId="0" fontId="34" fillId="0" borderId="158" xfId="0" applyFont="1" applyFill="1" applyBorder="1" applyAlignment="1" applyProtection="1">
      <alignment horizontal="center" vertical="center" wrapText="1"/>
      <protection/>
    </xf>
    <xf numFmtId="0" fontId="34" fillId="0" borderId="163" xfId="0" applyFont="1" applyFill="1" applyBorder="1" applyAlignment="1" applyProtection="1">
      <alignment horizontal="left" vertical="center" wrapText="1"/>
      <protection/>
    </xf>
    <xf numFmtId="0" fontId="34" fillId="0" borderId="164" xfId="0" applyFont="1" applyFill="1" applyBorder="1" applyAlignment="1" applyProtection="1">
      <alignment horizontal="left" vertical="center" wrapText="1"/>
      <protection/>
    </xf>
    <xf numFmtId="0" fontId="34" fillId="0" borderId="111" xfId="0" applyFont="1" applyFill="1" applyBorder="1" applyAlignment="1" applyProtection="1">
      <alignment horizontal="left" vertical="center" wrapText="1"/>
      <protection/>
    </xf>
    <xf numFmtId="0" fontId="34" fillId="0" borderId="163" xfId="0" applyFont="1" applyFill="1" applyBorder="1" applyAlignment="1" applyProtection="1">
      <alignment horizontal="center" vertical="center" wrapText="1"/>
      <protection/>
    </xf>
    <xf numFmtId="0" fontId="34" fillId="0" borderId="164" xfId="0" applyFont="1" applyFill="1" applyBorder="1" applyAlignment="1" applyProtection="1">
      <alignment horizontal="center" vertical="center" wrapText="1"/>
      <protection/>
    </xf>
    <xf numFmtId="0" fontId="34" fillId="0" borderId="111" xfId="0" applyFont="1" applyFill="1" applyBorder="1" applyAlignment="1" applyProtection="1">
      <alignment horizontal="center" vertical="center" wrapText="1"/>
      <protection/>
    </xf>
    <xf numFmtId="0" fontId="8" fillId="0" borderId="43" xfId="0" applyFont="1" applyFill="1" applyBorder="1" applyAlignment="1" applyProtection="1">
      <alignment horizontal="left"/>
      <protection/>
    </xf>
    <xf numFmtId="0" fontId="8" fillId="0" borderId="93" xfId="0" applyFont="1" applyFill="1" applyBorder="1" applyAlignment="1" applyProtection="1">
      <alignment horizontal="left"/>
      <protection/>
    </xf>
    <xf numFmtId="0" fontId="8" fillId="0" borderId="76" xfId="0" applyFont="1" applyFill="1" applyBorder="1" applyAlignment="1" applyProtection="1">
      <alignment horizontal="left"/>
      <protection/>
    </xf>
    <xf numFmtId="0" fontId="8" fillId="0" borderId="41" xfId="0" applyFont="1" applyFill="1" applyBorder="1" applyAlignment="1" applyProtection="1">
      <alignment horizontal="left"/>
      <protection/>
    </xf>
    <xf numFmtId="0" fontId="8" fillId="0" borderId="85" xfId="0" applyFont="1" applyFill="1" applyBorder="1" applyAlignment="1" applyProtection="1">
      <alignment horizontal="left"/>
      <protection/>
    </xf>
    <xf numFmtId="0" fontId="8" fillId="0" borderId="75" xfId="0" applyFont="1" applyFill="1" applyBorder="1" applyAlignment="1" applyProtection="1">
      <alignment horizontal="left"/>
      <protection/>
    </xf>
    <xf numFmtId="0" fontId="9" fillId="0" borderId="163" xfId="0" applyFont="1" applyFill="1" applyBorder="1" applyAlignment="1" applyProtection="1">
      <alignment horizontal="center"/>
      <protection/>
    </xf>
    <xf numFmtId="0" fontId="9" fillId="0" borderId="165" xfId="0" applyFont="1" applyFill="1" applyBorder="1" applyAlignment="1" applyProtection="1">
      <alignment horizontal="center"/>
      <protection/>
    </xf>
    <xf numFmtId="0" fontId="27" fillId="0" borderId="163" xfId="0" applyFont="1" applyBorder="1" applyAlignment="1" applyProtection="1">
      <alignment horizontal="center"/>
      <protection/>
    </xf>
    <xf numFmtId="0" fontId="27" fillId="0" borderId="165" xfId="0" applyFont="1" applyBorder="1" applyAlignment="1" applyProtection="1">
      <alignment horizontal="center"/>
      <protection/>
    </xf>
    <xf numFmtId="0" fontId="8" fillId="0" borderId="50" xfId="0" applyFont="1" applyFill="1" applyBorder="1" applyAlignment="1" applyProtection="1">
      <alignment horizontal="left"/>
      <protection/>
    </xf>
    <xf numFmtId="0" fontId="8" fillId="0" borderId="12" xfId="0" applyFont="1" applyFill="1" applyBorder="1" applyAlignment="1" applyProtection="1">
      <alignment horizontal="left"/>
      <protection/>
    </xf>
    <xf numFmtId="0" fontId="8" fillId="0" borderId="33" xfId="0" applyFont="1" applyFill="1" applyBorder="1" applyAlignment="1" applyProtection="1">
      <alignment horizontal="left"/>
      <protection/>
    </xf>
    <xf numFmtId="0" fontId="8" fillId="0" borderId="48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wrapText="1"/>
    </xf>
    <xf numFmtId="0" fontId="8" fillId="0" borderId="93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48" xfId="0" applyFont="1" applyBorder="1" applyAlignment="1">
      <alignment horizontal="center"/>
    </xf>
    <xf numFmtId="0" fontId="8" fillId="0" borderId="93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63" xfId="0" applyFont="1" applyBorder="1" applyAlignment="1">
      <alignment horizontal="center" vertical="center" wrapText="1"/>
    </xf>
    <xf numFmtId="0" fontId="6" fillId="0" borderId="164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63" xfId="0" applyFont="1" applyFill="1" applyBorder="1" applyAlignment="1">
      <alignment horizontal="center" vertical="center"/>
    </xf>
    <xf numFmtId="0" fontId="0" fillId="0" borderId="164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58" xfId="0" applyFont="1" applyBorder="1" applyAlignment="1">
      <alignment horizontal="center" vertical="center"/>
    </xf>
    <xf numFmtId="3" fontId="35" fillId="0" borderId="159" xfId="0" applyNumberFormat="1" applyFont="1" applyBorder="1" applyAlignment="1">
      <alignment horizontal="center"/>
    </xf>
    <xf numFmtId="0" fontId="0" fillId="0" borderId="164" xfId="0" applyFont="1" applyBorder="1" applyAlignment="1">
      <alignment/>
    </xf>
    <xf numFmtId="0" fontId="0" fillId="0" borderId="111" xfId="0" applyFont="1" applyBorder="1" applyAlignment="1">
      <alignment/>
    </xf>
    <xf numFmtId="0" fontId="14" fillId="0" borderId="163" xfId="0" applyFont="1" applyFill="1" applyBorder="1" applyAlignment="1">
      <alignment horizontal="center" vertical="center" wrapText="1"/>
    </xf>
    <xf numFmtId="0" fontId="14" fillId="0" borderId="164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3tabella15" xfId="47"/>
    <cellStyle name="Comma [0]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 2 2" xfId="57"/>
    <cellStyle name="Normale_PRINFEL98_modello si2 raln_MODIFICATO_ALESSIO" xfId="58"/>
    <cellStyle name="Normale_Prospetto informativo 2001" xfId="59"/>
    <cellStyle name="Normale_Prospetto informativo 2001_modello si2 raln_MODIFICATO_ALESSIO" xfId="60"/>
    <cellStyle name="Normale_tabella 4" xfId="61"/>
    <cellStyle name="Normale_tabella 5" xfId="62"/>
    <cellStyle name="Normale_tabella 6" xfId="63"/>
    <cellStyle name="Normale_tabella 7" xfId="64"/>
    <cellStyle name="Normale_tabella 8" xfId="65"/>
    <cellStyle name="Normale_tabella 9" xfId="66"/>
    <cellStyle name="Nota" xfId="67"/>
    <cellStyle name="Output" xfId="68"/>
    <cellStyle name="Percent" xfId="69"/>
    <cellStyle name="Percentuale 2" xfId="70"/>
    <cellStyle name="Percentuale 2 2" xfId="71"/>
    <cellStyle name="Testo avviso" xfId="72"/>
    <cellStyle name="Testo descrittivo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Valore non valido" xfId="80"/>
    <cellStyle name="Valore valido" xfId="81"/>
    <cellStyle name="Currency" xfId="82"/>
    <cellStyle name="Valuta (0)_3tabella15" xfId="83"/>
    <cellStyle name="Currency [0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0.999"/>
          <c:h val="0.6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SI_1!$B$112:$B$130</c:f>
              <c:strCache/>
            </c:strRef>
          </c:cat>
          <c:val>
            <c:numRef>
              <c:f>SI_1!$C$112:$C$130</c:f>
              <c:numCache/>
            </c:numRef>
          </c:val>
        </c:ser>
        <c:axId val="10866902"/>
        <c:axId val="30693255"/>
      </c:bar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0693255"/>
        <c:crossesAt val="0"/>
        <c:auto val="1"/>
        <c:lblOffset val="100"/>
        <c:tickLblSkip val="1"/>
        <c:noMultiLvlLbl val="0"/>
      </c:catAx>
      <c:valAx>
        <c:axId val="30693255"/>
        <c:scaling>
          <c:orientation val="minMax"/>
          <c:max val="1"/>
        </c:scaling>
        <c:axPos val="l"/>
        <c:delete val="1"/>
        <c:majorTickMark val="out"/>
        <c:minorTickMark val="none"/>
        <c:tickLblPos val="none"/>
        <c:crossAx val="1086690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6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SI_1!$E$114:$E$125</c:f>
              <c:strCache/>
            </c:strRef>
          </c:cat>
          <c:val>
            <c:numRef>
              <c:f>SI_1!$F$114:$F$125</c:f>
              <c:numCache/>
            </c:numRef>
          </c:val>
        </c:ser>
        <c:axId val="7803840"/>
        <c:axId val="3125697"/>
      </c:bar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125697"/>
        <c:crosses val="autoZero"/>
        <c:auto val="1"/>
        <c:lblOffset val="100"/>
        <c:tickLblSkip val="1"/>
        <c:noMultiLvlLbl val="0"/>
      </c:catAx>
      <c:valAx>
        <c:axId val="3125697"/>
        <c:scaling>
          <c:orientation val="minMax"/>
        </c:scaling>
        <c:axPos val="l"/>
        <c:delete val="1"/>
        <c:majorTickMark val="out"/>
        <c:minorTickMark val="none"/>
        <c:tickLblPos val="none"/>
        <c:crossAx val="7803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106</xdr:row>
      <xdr:rowOff>0</xdr:rowOff>
    </xdr:from>
    <xdr:ext cx="104775" cy="190500"/>
    <xdr:sp fLocksText="0">
      <xdr:nvSpPr>
        <xdr:cNvPr id="1" name="Text Box 7"/>
        <xdr:cNvSpPr txBox="1">
          <a:spLocks noChangeArrowheads="1"/>
        </xdr:cNvSpPr>
      </xdr:nvSpPr>
      <xdr:spPr>
        <a:xfrm>
          <a:off x="4800600" y="21059775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55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106</xdr:row>
      <xdr:rowOff>0</xdr:rowOff>
    </xdr:from>
    <xdr:to>
      <xdr:col>7</xdr:col>
      <xdr:colOff>0</xdr:colOff>
      <xdr:row>107</xdr:row>
      <xdr:rowOff>114300</xdr:rowOff>
    </xdr:to>
    <xdr:graphicFrame>
      <xdr:nvGraphicFramePr>
        <xdr:cNvPr id="4" name="Chart 19"/>
        <xdr:cNvGraphicFramePr/>
      </xdr:nvGraphicFramePr>
      <xdr:xfrm>
        <a:off x="390525" y="21059775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108</xdr:row>
      <xdr:rowOff>9525</xdr:rowOff>
    </xdr:from>
    <xdr:to>
      <xdr:col>7</xdr:col>
      <xdr:colOff>0</xdr:colOff>
      <xdr:row>110</xdr:row>
      <xdr:rowOff>28575</xdr:rowOff>
    </xdr:to>
    <xdr:graphicFrame>
      <xdr:nvGraphicFramePr>
        <xdr:cNvPr id="5" name="Chart 20"/>
        <xdr:cNvGraphicFramePr/>
      </xdr:nvGraphicFramePr>
      <xdr:xfrm>
        <a:off x="371475" y="22202775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25</xdr:col>
      <xdr:colOff>47625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80676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628650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705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8</xdr:col>
      <xdr:colOff>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95726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257175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1207770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28575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80867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7</xdr:col>
      <xdr:colOff>733425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75438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743200" y="590550"/>
          <a:ext cx="60293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28575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414462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6</xdr:col>
      <xdr:colOff>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61055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6</xdr:col>
      <xdr:colOff>942975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650557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600075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04825"/>
          <a:ext cx="68103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400050</xdr:rowOff>
    </xdr:from>
    <xdr:to>
      <xdr:col>6</xdr:col>
      <xdr:colOff>1085850</xdr:colOff>
      <xdr:row>1</xdr:row>
      <xdr:rowOff>200025</xdr:rowOff>
    </xdr:to>
    <xdr:sp>
      <xdr:nvSpPr>
        <xdr:cNvPr id="1" name="Testo 1"/>
        <xdr:cNvSpPr>
          <a:spLocks/>
        </xdr:cNvSpPr>
      </xdr:nvSpPr>
      <xdr:spPr>
        <a:xfrm>
          <a:off x="276225" y="400050"/>
          <a:ext cx="8810625" cy="4953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4667250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672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4505325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RISORSE PER LA RETRIBUZIONE DI POSIZIONE E DI RISULTATO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238750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UNICO PER LE RISORSE DECENTRATE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924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9249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27444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127444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4580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4580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59130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659130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7</xdr:col>
      <xdr:colOff>85725</xdr:colOff>
      <xdr:row>1</xdr:row>
      <xdr:rowOff>276225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838950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4</xdr:col>
      <xdr:colOff>495300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419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361950</xdr:colOff>
      <xdr:row>3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590550"/>
          <a:ext cx="86106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61245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55"/>
  <sheetViews>
    <sheetView showGridLines="0" zoomScale="80" zoomScaleNormal="80" zoomScalePageLayoutView="0" workbookViewId="0" topLeftCell="A1">
      <selection activeCell="E12" sqref="E12:G12"/>
    </sheetView>
  </sheetViews>
  <sheetFormatPr defaultColWidth="6.33203125" defaultRowHeight="10.5"/>
  <cols>
    <col min="1" max="1" width="6.66015625" style="458" customWidth="1"/>
    <col min="2" max="2" width="25.83203125" style="456" customWidth="1"/>
    <col min="3" max="3" width="31" style="456" customWidth="1"/>
    <col min="4" max="4" width="20.5" style="456" customWidth="1"/>
    <col min="5" max="5" width="40.66015625" style="456" customWidth="1"/>
    <col min="6" max="6" width="29" style="456" customWidth="1"/>
    <col min="7" max="7" width="26" style="456" customWidth="1"/>
    <col min="8" max="10" width="5.33203125" style="409" hidden="1" customWidth="1"/>
    <col min="11" max="11" width="38.83203125" style="409" customWidth="1"/>
    <col min="12" max="16384" width="6.33203125" style="409" customWidth="1"/>
  </cols>
  <sheetData>
    <row r="1" ht="57.75" customHeight="1">
      <c r="A1" s="606" t="s">
        <v>367</v>
      </c>
    </row>
    <row r="2" spans="1:7" s="410" customFormat="1" ht="20.25" customHeight="1">
      <c r="A2" s="607" t="s">
        <v>39</v>
      </c>
      <c r="B2" s="457"/>
      <c r="C2" s="1272"/>
      <c r="D2" s="1272"/>
      <c r="E2" s="1272"/>
      <c r="F2" s="1272"/>
      <c r="G2" s="457"/>
    </row>
    <row r="3" spans="1:7" s="410" customFormat="1" ht="27" customHeight="1">
      <c r="A3" s="495"/>
      <c r="B3" s="588"/>
      <c r="C3" s="1272" t="str">
        <f>'t1'!A1</f>
        <v>COMPARTO REGIONI ED AUTONOMIE LOCALI</v>
      </c>
      <c r="D3" s="1272"/>
      <c r="E3" s="1272"/>
      <c r="F3" s="1272"/>
      <c r="G3" s="457"/>
    </row>
    <row r="4" spans="3:8" ht="12.75">
      <c r="C4" s="459"/>
      <c r="D4" s="459"/>
      <c r="E4" s="459"/>
      <c r="F4" s="459"/>
      <c r="H4" s="411"/>
    </row>
    <row r="5" spans="5:8" ht="12.75">
      <c r="E5" s="458"/>
      <c r="H5" s="411"/>
    </row>
    <row r="6" spans="2:7" ht="18" customHeight="1">
      <c r="B6" s="1241" t="s">
        <v>656</v>
      </c>
      <c r="C6" s="1242"/>
      <c r="D6" s="1242"/>
      <c r="E6" s="1242"/>
      <c r="F6" s="1242"/>
      <c r="G6" s="1243"/>
    </row>
    <row r="7" ht="6" customHeight="1"/>
    <row r="8" spans="1:7" ht="19.5" customHeight="1">
      <c r="A8" s="496"/>
      <c r="B8" s="456" t="s">
        <v>284</v>
      </c>
      <c r="D8" s="460"/>
      <c r="E8" s="1273"/>
      <c r="F8" s="1274"/>
      <c r="G8" s="1275"/>
    </row>
    <row r="9" spans="1:11" ht="28.5" customHeight="1">
      <c r="A9" s="496" t="s">
        <v>337</v>
      </c>
      <c r="B9" s="412" t="s">
        <v>285</v>
      </c>
      <c r="C9" s="412"/>
      <c r="D9" s="460"/>
      <c r="E9" s="1267" t="s">
        <v>916</v>
      </c>
      <c r="F9" s="1268"/>
      <c r="G9" s="1271"/>
      <c r="K9" s="608">
        <f>IF(LEN(E9)=0,"E' NECESSARIO INSERIRE IL CODICE FISCALE DELL'ENTE","")</f>
      </c>
    </row>
    <row r="10" spans="1:11" ht="28.5" customHeight="1">
      <c r="A10" s="496" t="s">
        <v>337</v>
      </c>
      <c r="B10" s="412" t="s">
        <v>286</v>
      </c>
      <c r="C10" s="412"/>
      <c r="D10" s="460"/>
      <c r="E10" s="1267" t="s">
        <v>914</v>
      </c>
      <c r="F10" s="1268"/>
      <c r="G10" s="1271"/>
      <c r="K10" s="608">
        <f>IF(LEN(E10)=0,"E' NECESSARIO INSERIRE IL TELEFONO DELL'ENTE","")</f>
      </c>
    </row>
    <row r="11" spans="1:11" ht="28.5" customHeight="1">
      <c r="A11" s="496" t="s">
        <v>337</v>
      </c>
      <c r="B11" s="412" t="s">
        <v>287</v>
      </c>
      <c r="C11" s="412"/>
      <c r="D11" s="460"/>
      <c r="E11" s="1267" t="s">
        <v>915</v>
      </c>
      <c r="F11" s="1268"/>
      <c r="G11" s="1271"/>
      <c r="K11" s="608">
        <f>IF(LEN(E11)=0,"E' NECESSARIO INSERIRE 
IL FAX DELL'ENTE","")</f>
      </c>
    </row>
    <row r="12" spans="1:11" ht="28.5" customHeight="1">
      <c r="A12" s="496" t="s">
        <v>337</v>
      </c>
      <c r="B12" s="412" t="s">
        <v>288</v>
      </c>
      <c r="C12" s="412"/>
      <c r="D12" s="460"/>
      <c r="E12" s="1267" t="s">
        <v>930</v>
      </c>
      <c r="F12" s="1268"/>
      <c r="G12" s="1271"/>
      <c r="K12" s="608">
        <f>IF(LEN(E12)=0,"E' NECESSARIO INSERIRE 
L'E-MAIL DELL'ENTE","")</f>
      </c>
    </row>
    <row r="13" spans="1:11" ht="28.5" customHeight="1">
      <c r="A13" s="496" t="s">
        <v>337</v>
      </c>
      <c r="B13" s="412" t="s">
        <v>289</v>
      </c>
      <c r="C13" s="1232" t="s">
        <v>910</v>
      </c>
      <c r="D13" s="1233" t="s">
        <v>911</v>
      </c>
      <c r="E13" s="1234" t="s">
        <v>912</v>
      </c>
      <c r="F13" s="1235" t="s">
        <v>913</v>
      </c>
      <c r="G13" s="1236" t="s">
        <v>913</v>
      </c>
      <c r="H13" s="730"/>
      <c r="I13" s="731"/>
      <c r="J13" s="713"/>
      <c r="K13" s="732">
        <f>IF(AND(LEN(C13)&gt;0,LEN(D13)&gt;0,LEN(E13)&gt;0,LEN(F13)&gt;0,LEN(G13)&gt;0),"","E' NECESSARIO COMPILARE TUTTI I DATI DELL'INDIRIZZO")</f>
      </c>
    </row>
    <row r="14" spans="1:7" s="414" customFormat="1" ht="20.25" customHeight="1">
      <c r="A14" s="496"/>
      <c r="B14" s="413"/>
      <c r="C14" s="461" t="s">
        <v>290</v>
      </c>
      <c r="D14" s="462" t="s">
        <v>355</v>
      </c>
      <c r="E14" s="461" t="s">
        <v>291</v>
      </c>
      <c r="F14" s="461" t="s">
        <v>449</v>
      </c>
      <c r="G14" s="461"/>
    </row>
    <row r="15" spans="1:7" s="653" customFormat="1" ht="28.5" customHeight="1">
      <c r="A15" s="456"/>
      <c r="B15" s="412" t="s">
        <v>50</v>
      </c>
      <c r="C15" s="652"/>
      <c r="D15" s="1276"/>
      <c r="E15" s="1277"/>
      <c r="F15" s="1277"/>
      <c r="G15" s="1278"/>
    </row>
    <row r="16" spans="1:7" ht="18" customHeight="1">
      <c r="A16" s="496"/>
      <c r="B16" s="1241" t="s">
        <v>572</v>
      </c>
      <c r="C16" s="1242"/>
      <c r="D16" s="1242"/>
      <c r="E16" s="1242"/>
      <c r="F16" s="1242"/>
      <c r="G16" s="1243"/>
    </row>
    <row r="17" spans="1:7" s="415" customFormat="1" ht="15">
      <c r="A17" s="496"/>
      <c r="B17" s="463" t="s">
        <v>292</v>
      </c>
      <c r="C17" s="464"/>
      <c r="D17" s="465"/>
      <c r="E17" s="465"/>
      <c r="F17" s="436"/>
      <c r="G17" s="1269" t="s">
        <v>450</v>
      </c>
    </row>
    <row r="18" spans="1:7" s="415" customFormat="1" ht="15">
      <c r="A18" s="496" t="s">
        <v>337</v>
      </c>
      <c r="B18" s="465" t="s">
        <v>293</v>
      </c>
      <c r="C18" s="465"/>
      <c r="D18" s="465" t="s">
        <v>294</v>
      </c>
      <c r="E18" s="465"/>
      <c r="F18" s="466" t="s">
        <v>344</v>
      </c>
      <c r="G18" s="1270"/>
    </row>
    <row r="19" spans="1:11" ht="28.5" customHeight="1">
      <c r="A19" s="496"/>
      <c r="B19" s="1267" t="s">
        <v>917</v>
      </c>
      <c r="C19" s="1268"/>
      <c r="D19" s="1267" t="s">
        <v>918</v>
      </c>
      <c r="E19" s="1268"/>
      <c r="F19" s="1267" t="s">
        <v>927</v>
      </c>
      <c r="G19" s="1271"/>
      <c r="K19" s="609">
        <f>IF(AND(LEN(B19)&gt;0,LEN(D19)&gt;0,LEN(F19)&gt;0),"","E' NECESSARIO COMPILARE TUTTI I DATI DEL PRESIDENTE")</f>
      </c>
    </row>
    <row r="20" spans="1:7" s="415" customFormat="1" ht="15">
      <c r="A20" s="496"/>
      <c r="B20" s="463" t="s">
        <v>295</v>
      </c>
      <c r="C20" s="464"/>
      <c r="D20" s="465"/>
      <c r="E20" s="465"/>
      <c r="F20" s="436"/>
      <c r="G20" s="1269" t="s">
        <v>450</v>
      </c>
    </row>
    <row r="21" spans="1:7" s="415" customFormat="1" ht="15" customHeight="1">
      <c r="A21" s="496"/>
      <c r="B21" s="465" t="s">
        <v>293</v>
      </c>
      <c r="C21" s="465"/>
      <c r="D21" s="465" t="s">
        <v>294</v>
      </c>
      <c r="E21" s="465"/>
      <c r="F21" s="466" t="s">
        <v>344</v>
      </c>
      <c r="G21" s="1270"/>
    </row>
    <row r="22" spans="1:11" ht="23.25" customHeight="1">
      <c r="A22" s="496"/>
      <c r="B22" s="1238" t="s">
        <v>919</v>
      </c>
      <c r="C22" s="1239"/>
      <c r="D22" s="1238" t="s">
        <v>920</v>
      </c>
      <c r="E22" s="1239"/>
      <c r="F22" s="1238" t="s">
        <v>926</v>
      </c>
      <c r="G22" s="1239"/>
      <c r="K22" s="609" t="str">
        <f>IF(OR(LEN(B22)&gt;0,LEN(D22)&gt;0),IF(LEN(F22)=0,"E' NECESSARIO COMPILARE IL CAMPO E-MAIL"," ")," ")</f>
        <v> </v>
      </c>
    </row>
    <row r="23" spans="1:11" ht="23.25" customHeight="1">
      <c r="A23" s="496"/>
      <c r="B23" s="1238" t="s">
        <v>921</v>
      </c>
      <c r="C23" s="1239"/>
      <c r="D23" s="1238" t="s">
        <v>922</v>
      </c>
      <c r="E23" s="1239"/>
      <c r="F23" s="1238" t="s">
        <v>929</v>
      </c>
      <c r="G23" s="1239"/>
      <c r="K23" s="609" t="str">
        <f>IF(OR(LEN(B23)&gt;0,LEN(D23)&gt;0),IF(LEN(F23)=0,"E' NECESSARIO COMPILARE IL CAMPO E-MAIL"," ")," ")</f>
        <v> </v>
      </c>
    </row>
    <row r="24" spans="1:11" ht="23.25" customHeight="1">
      <c r="A24" s="496"/>
      <c r="B24" s="1248"/>
      <c r="C24" s="1239"/>
      <c r="D24" s="1248"/>
      <c r="E24" s="1239"/>
      <c r="F24" s="1248"/>
      <c r="G24" s="1239"/>
      <c r="K24" s="609" t="str">
        <f>IF(OR(LEN(B24)&gt;0,LEN(D24)&gt;0),IF(LEN(F24)=0,"E' NECESSARIO COMPILARE IL CAMPO E-MAIL"," ")," ")</f>
        <v> </v>
      </c>
    </row>
    <row r="25" spans="1:11" ht="23.25" customHeight="1">
      <c r="A25" s="496"/>
      <c r="B25" s="1248"/>
      <c r="C25" s="1239"/>
      <c r="D25" s="1248"/>
      <c r="E25" s="1239"/>
      <c r="F25" s="1248"/>
      <c r="G25" s="1239"/>
      <c r="K25" s="609" t="str">
        <f>IF(OR(LEN(B25)&gt;0,LEN(D25)&gt;0),IF(LEN(F25)=0,"E' NECESSARIO COMPILARE IL CAMPO E-MAIL"," ")," ")</f>
        <v> </v>
      </c>
    </row>
    <row r="26" spans="1:11" ht="23.25" customHeight="1">
      <c r="A26" s="496"/>
      <c r="B26" s="1248"/>
      <c r="C26" s="1239"/>
      <c r="D26" s="1248"/>
      <c r="E26" s="1239"/>
      <c r="F26" s="1248"/>
      <c r="G26" s="1239"/>
      <c r="K26" s="609" t="str">
        <f>IF(OR(LEN(B26)&gt;0,LEN(D26)&gt;0),IF(LEN(F26)=0,"E' NECESSARIO COMPILARE IL CAMPO E-MAIL"," ")," ")</f>
        <v> </v>
      </c>
    </row>
    <row r="27" spans="1:7" s="411" customFormat="1" ht="18">
      <c r="A27" s="496"/>
      <c r="B27" s="467"/>
      <c r="C27" s="468"/>
      <c r="D27" s="468"/>
      <c r="E27" s="469"/>
      <c r="F27" s="470"/>
      <c r="G27" s="470"/>
    </row>
    <row r="28" spans="1:8" ht="18" customHeight="1">
      <c r="A28" s="496"/>
      <c r="B28" s="472" t="s">
        <v>296</v>
      </c>
      <c r="C28" s="471"/>
      <c r="D28" s="471"/>
      <c r="E28" s="473"/>
      <c r="F28" s="474"/>
      <c r="G28" s="474"/>
      <c r="H28" s="416"/>
    </row>
    <row r="29" spans="1:8" ht="13.5" customHeight="1">
      <c r="A29" s="496"/>
      <c r="B29" s="471"/>
      <c r="C29" s="471"/>
      <c r="D29" s="471"/>
      <c r="E29" s="473"/>
      <c r="F29" s="475"/>
      <c r="G29" s="475"/>
      <c r="H29" s="416"/>
    </row>
    <row r="30" spans="1:8" ht="18" customHeight="1">
      <c r="A30" s="496"/>
      <c r="B30" s="1241" t="s">
        <v>573</v>
      </c>
      <c r="C30" s="1242"/>
      <c r="D30" s="1242"/>
      <c r="E30" s="1242"/>
      <c r="F30" s="1242"/>
      <c r="G30" s="1243"/>
      <c r="H30" s="416"/>
    </row>
    <row r="31" spans="1:5" ht="18" customHeight="1">
      <c r="A31" s="496"/>
      <c r="B31" s="476" t="s">
        <v>451</v>
      </c>
      <c r="E31" s="458"/>
    </row>
    <row r="32" spans="1:7" s="418" customFormat="1" ht="15.75" customHeight="1">
      <c r="A32" s="496" t="s">
        <v>337</v>
      </c>
      <c r="B32" s="417" t="s">
        <v>293</v>
      </c>
      <c r="C32" s="417"/>
      <c r="D32" s="417" t="s">
        <v>294</v>
      </c>
      <c r="E32" s="417" t="s">
        <v>344</v>
      </c>
      <c r="F32" s="477" t="s">
        <v>286</v>
      </c>
      <c r="G32" s="419" t="s">
        <v>297</v>
      </c>
    </row>
    <row r="33" spans="1:11" ht="15">
      <c r="A33" s="496"/>
      <c r="B33" s="1261" t="s">
        <v>923</v>
      </c>
      <c r="C33" s="1262"/>
      <c r="D33" s="1233" t="s">
        <v>924</v>
      </c>
      <c r="E33" s="610" t="s">
        <v>928</v>
      </c>
      <c r="F33" s="1237" t="s">
        <v>925</v>
      </c>
      <c r="G33" s="1237" t="s">
        <v>915</v>
      </c>
      <c r="K33" s="609">
        <f>IF(AND(LEN(B33)&gt;0,LEN(D33)&gt;0,LEN(E33)&gt;0,LEN(F33)&gt;0,LEN(G33)&gt;0),"","E' NECESSARIO COMPILARE TUTTI I DATI DEL RESPONSABILE")</f>
      </c>
    </row>
    <row r="34" spans="1:7" ht="20.25" customHeight="1">
      <c r="A34" s="496"/>
      <c r="B34" s="1263"/>
      <c r="C34" s="1264"/>
      <c r="D34" s="502"/>
      <c r="E34" s="611"/>
      <c r="F34" s="612"/>
      <c r="G34" s="612"/>
    </row>
    <row r="35" spans="1:7" ht="12.75" customHeight="1">
      <c r="A35" s="496"/>
      <c r="B35" s="412"/>
      <c r="C35" s="412"/>
      <c r="D35" s="478"/>
      <c r="E35" s="478"/>
      <c r="F35" s="458"/>
      <c r="G35" s="458"/>
    </row>
    <row r="36" spans="1:7" ht="18" customHeight="1">
      <c r="A36" s="496"/>
      <c r="B36" s="1241" t="s">
        <v>657</v>
      </c>
      <c r="C36" s="1242"/>
      <c r="D36" s="1242"/>
      <c r="E36" s="1242"/>
      <c r="F36" s="1242"/>
      <c r="G36" s="1243"/>
    </row>
    <row r="37" spans="1:7" ht="6" customHeight="1">
      <c r="A37" s="496"/>
      <c r="B37" s="412"/>
      <c r="C37" s="412"/>
      <c r="D37" s="478"/>
      <c r="E37" s="478"/>
      <c r="F37" s="479"/>
      <c r="G37" s="479"/>
    </row>
    <row r="38" spans="1:9" ht="15">
      <c r="A38" s="496"/>
      <c r="B38" s="420"/>
      <c r="C38" s="412"/>
      <c r="F38" s="436"/>
      <c r="G38" s="436"/>
      <c r="H38" s="498" t="b">
        <v>0</v>
      </c>
      <c r="I38" s="498" t="b">
        <v>0</v>
      </c>
    </row>
    <row r="39" spans="1:11" ht="29.25" customHeight="1">
      <c r="A39" s="496">
        <v>1</v>
      </c>
      <c r="B39" s="1240" t="s">
        <v>300</v>
      </c>
      <c r="C39" s="1240"/>
      <c r="D39" s="1240"/>
      <c r="E39" s="1240"/>
      <c r="F39" s="766"/>
      <c r="G39" s="766"/>
      <c r="H39" s="590"/>
      <c r="I39" s="590"/>
      <c r="J39" s="614"/>
      <c r="K39" s="609"/>
    </row>
    <row r="40" spans="2:9" ht="8.25" customHeight="1">
      <c r="B40" s="420"/>
      <c r="C40" s="412"/>
      <c r="F40" s="1173"/>
      <c r="G40" s="1173"/>
      <c r="H40" s="498"/>
      <c r="I40" s="498"/>
    </row>
    <row r="41" spans="1:11" ht="29.25" customHeight="1">
      <c r="A41" s="496">
        <v>2</v>
      </c>
      <c r="B41" s="1240" t="s">
        <v>300</v>
      </c>
      <c r="C41" s="1240"/>
      <c r="D41" s="1240"/>
      <c r="E41" s="1240"/>
      <c r="F41" s="1174"/>
      <c r="G41" s="1174"/>
      <c r="H41" s="590"/>
      <c r="I41" s="590"/>
      <c r="J41" s="614"/>
      <c r="K41" s="609"/>
    </row>
    <row r="42" spans="1:9" ht="8.25" customHeight="1">
      <c r="A42" s="496"/>
      <c r="B42" s="420"/>
      <c r="C42" s="412"/>
      <c r="F42" s="1173"/>
      <c r="G42" s="1173"/>
      <c r="H42" s="498"/>
      <c r="I42" s="498"/>
    </row>
    <row r="43" spans="1:11" ht="29.25" customHeight="1">
      <c r="A43" s="496">
        <v>3</v>
      </c>
      <c r="B43" s="1240" t="s">
        <v>300</v>
      </c>
      <c r="C43" s="1240"/>
      <c r="D43" s="1240"/>
      <c r="E43" s="1240"/>
      <c r="F43" s="1174"/>
      <c r="G43" s="1174"/>
      <c r="H43" s="590"/>
      <c r="I43" s="590"/>
      <c r="J43" s="614"/>
      <c r="K43" s="609"/>
    </row>
    <row r="44" spans="1:9" ht="8.25" customHeight="1">
      <c r="A44" s="496"/>
      <c r="B44" s="1175"/>
      <c r="C44" s="1175"/>
      <c r="D44" s="1175"/>
      <c r="E44" s="1175"/>
      <c r="F44" s="615"/>
      <c r="G44" s="615"/>
      <c r="H44" s="498" t="b">
        <v>0</v>
      </c>
      <c r="I44" s="498" t="b">
        <v>1</v>
      </c>
    </row>
    <row r="45" spans="1:11" ht="29.25" customHeight="1">
      <c r="A45" s="496" t="s">
        <v>348</v>
      </c>
      <c r="B45" s="1246" t="s">
        <v>685</v>
      </c>
      <c r="C45" s="1246"/>
      <c r="D45" s="1246"/>
      <c r="E45" s="1246"/>
      <c r="F45" s="613" t="s">
        <v>298</v>
      </c>
      <c r="G45" s="613" t="s">
        <v>299</v>
      </c>
      <c r="H45" s="590">
        <f>IF(H44=TRUE,1,0)</f>
        <v>0</v>
      </c>
      <c r="I45" s="590">
        <f>IF(I44=TRUE,1,0)</f>
        <v>1</v>
      </c>
      <c r="J45" s="614">
        <f>SUM(H45,I45)</f>
        <v>1</v>
      </c>
      <c r="K45" s="609" t="str">
        <f>IF(J45=0,"RISPOSTA OBBLIGATORIA",IF(J45=1,"OK",IF(J45=2,"DARE UNA SOLA RISPOSTA si/no"," ")))</f>
        <v>OK</v>
      </c>
    </row>
    <row r="46" spans="1:9" ht="9.75" customHeight="1">
      <c r="A46" s="496"/>
      <c r="H46" s="590"/>
      <c r="I46" s="590"/>
    </row>
    <row r="47" spans="1:7" ht="15">
      <c r="A47" s="496"/>
      <c r="B47" s="458"/>
      <c r="C47" s="458"/>
      <c r="F47" s="479"/>
      <c r="G47" s="480" t="s">
        <v>302</v>
      </c>
    </row>
    <row r="48" spans="1:11" ht="27" customHeight="1">
      <c r="A48" s="496" t="s">
        <v>340</v>
      </c>
      <c r="B48" s="1246" t="s">
        <v>686</v>
      </c>
      <c r="C48" s="1246"/>
      <c r="D48" s="1246"/>
      <c r="E48" s="1246"/>
      <c r="F48" s="1247"/>
      <c r="G48" s="1030">
        <v>0</v>
      </c>
      <c r="K48" s="609">
        <f>IF(G48="","INSERIRE CAMPO OBBLIGATORIO",IF(G48=" ","INSERIRE NUMERO VALIDO",""))</f>
      </c>
    </row>
    <row r="49" spans="1:7" ht="4.5" customHeight="1">
      <c r="A49" s="496"/>
      <c r="B49" s="420"/>
      <c r="C49" s="412"/>
      <c r="D49" s="482"/>
      <c r="E49" s="482"/>
      <c r="F49" s="482"/>
      <c r="G49" s="482"/>
    </row>
    <row r="50" spans="1:7" ht="15">
      <c r="A50" s="496"/>
      <c r="B50" s="458"/>
      <c r="C50" s="458"/>
      <c r="D50" s="483"/>
      <c r="E50" s="484"/>
      <c r="F50" s="459"/>
      <c r="G50" s="480" t="s">
        <v>301</v>
      </c>
    </row>
    <row r="51" spans="1:11" ht="24" customHeight="1">
      <c r="A51" s="496" t="s">
        <v>341</v>
      </c>
      <c r="B51" s="1265" t="s">
        <v>841</v>
      </c>
      <c r="C51" s="1265"/>
      <c r="D51" s="1265"/>
      <c r="E51" s="1265"/>
      <c r="F51" s="1266"/>
      <c r="G51" s="1030">
        <v>0</v>
      </c>
      <c r="K51" s="609">
        <f>IF(G51="","INSERIRE CAMPO OBBLIGATORIO",IF(G51=" ","INSERIRE NUMERO VALIDO",""))</f>
      </c>
    </row>
    <row r="52" spans="1:7" ht="4.5" customHeight="1">
      <c r="A52" s="496"/>
      <c r="B52" s="420"/>
      <c r="C52" s="421"/>
      <c r="D52" s="483"/>
      <c r="E52" s="484"/>
      <c r="F52" s="459"/>
      <c r="G52" s="459"/>
    </row>
    <row r="53" spans="1:7" ht="15">
      <c r="A53" s="496"/>
      <c r="B53" s="458"/>
      <c r="C53" s="422"/>
      <c r="D53" s="485"/>
      <c r="E53" s="486"/>
      <c r="F53" s="487"/>
      <c r="G53" s="480" t="s">
        <v>301</v>
      </c>
    </row>
    <row r="54" spans="1:11" ht="24" customHeight="1">
      <c r="A54" s="496" t="s">
        <v>342</v>
      </c>
      <c r="B54" s="1265" t="s">
        <v>842</v>
      </c>
      <c r="C54" s="1265"/>
      <c r="D54" s="1265"/>
      <c r="E54" s="1265"/>
      <c r="F54" s="1266"/>
      <c r="G54" s="1030">
        <v>0</v>
      </c>
      <c r="K54" s="609">
        <f>IF(G54="","INSERIRE CAMPO OBBLIGATORIO",IF(G54=" ","INSERIRE NUMERO VALIDO",""))</f>
      </c>
    </row>
    <row r="55" spans="1:7" ht="4.5" customHeight="1">
      <c r="A55" s="496"/>
      <c r="B55" s="420"/>
      <c r="C55" s="421"/>
      <c r="D55" s="483"/>
      <c r="E55" s="484"/>
      <c r="F55" s="459"/>
      <c r="G55" s="459" t="s">
        <v>112</v>
      </c>
    </row>
    <row r="56" spans="1:7" ht="15">
      <c r="A56" s="496"/>
      <c r="B56" s="458"/>
      <c r="C56" s="422"/>
      <c r="D56" s="485"/>
      <c r="E56" s="486"/>
      <c r="F56" s="487"/>
      <c r="G56" s="480" t="s">
        <v>301</v>
      </c>
    </row>
    <row r="57" spans="1:11" ht="24" customHeight="1">
      <c r="A57" s="496" t="s">
        <v>345</v>
      </c>
      <c r="B57" s="1244" t="s">
        <v>843</v>
      </c>
      <c r="C57" s="1244"/>
      <c r="D57" s="1244"/>
      <c r="E57" s="1244"/>
      <c r="F57" s="1245"/>
      <c r="G57" s="1030">
        <v>0</v>
      </c>
      <c r="K57" s="609">
        <f>IF(G57="","INSERIRE CAMPO OBBLIGATORIO",IF(G57=" ","INSERIRE NUMERO VALIDO",""))</f>
      </c>
    </row>
    <row r="58" spans="1:7" ht="4.5" customHeight="1">
      <c r="A58" s="496"/>
      <c r="B58" s="420"/>
      <c r="C58" s="421"/>
      <c r="D58" s="483"/>
      <c r="E58" s="484"/>
      <c r="F58" s="459"/>
      <c r="G58" s="459" t="s">
        <v>112</v>
      </c>
    </row>
    <row r="59" spans="1:10" s="458" customFormat="1" ht="15" customHeight="1" hidden="1">
      <c r="A59" s="691"/>
      <c r="B59" s="704"/>
      <c r="C59" s="705"/>
      <c r="D59" s="702"/>
      <c r="E59" s="702"/>
      <c r="F59"/>
      <c r="G59"/>
      <c r="H59"/>
      <c r="I59" s="715"/>
      <c r="J59" s="715"/>
    </row>
    <row r="60" spans="1:10" s="458" customFormat="1" ht="15" customHeight="1" hidden="1">
      <c r="A60" s="691"/>
      <c r="B60" s="702"/>
      <c r="C60" s="702"/>
      <c r="D60" s="699"/>
      <c r="E60" s="702"/>
      <c r="F60"/>
      <c r="G60"/>
      <c r="H60"/>
      <c r="I60" s="687"/>
      <c r="J60" s="715"/>
    </row>
    <row r="61" spans="1:10" s="458" customFormat="1" ht="15" customHeight="1" hidden="1">
      <c r="A61" s="691"/>
      <c r="B61" s="702"/>
      <c r="C61" s="702"/>
      <c r="D61" s="699"/>
      <c r="E61" s="702"/>
      <c r="F61"/>
      <c r="G61"/>
      <c r="H61"/>
      <c r="I61" s="687"/>
      <c r="J61" s="715"/>
    </row>
    <row r="62" spans="1:10" s="458" customFormat="1" ht="15" customHeight="1" hidden="1">
      <c r="A62" s="691"/>
      <c r="B62" s="702"/>
      <c r="C62" s="702"/>
      <c r="D62" s="699"/>
      <c r="E62" s="702"/>
      <c r="F62"/>
      <c r="G62"/>
      <c r="H62"/>
      <c r="I62" s="687"/>
      <c r="J62" s="715"/>
    </row>
    <row r="63" spans="1:10" s="458" customFormat="1" ht="15" customHeight="1" hidden="1">
      <c r="A63" s="691"/>
      <c r="B63" s="702"/>
      <c r="C63" s="702"/>
      <c r="D63" s="699"/>
      <c r="E63" s="702"/>
      <c r="F63"/>
      <c r="G63"/>
      <c r="H63"/>
      <c r="I63" s="687"/>
      <c r="J63" s="715"/>
    </row>
    <row r="64" spans="1:10" s="458" customFormat="1" ht="15" customHeight="1" hidden="1">
      <c r="A64" s="691"/>
      <c r="B64" s="702"/>
      <c r="C64" s="702"/>
      <c r="D64" s="699"/>
      <c r="E64" s="702"/>
      <c r="F64"/>
      <c r="G64"/>
      <c r="H64"/>
      <c r="I64" s="687"/>
      <c r="J64" s="715"/>
    </row>
    <row r="65" spans="1:7" ht="9.75" customHeight="1" hidden="1">
      <c r="A65" s="496"/>
      <c r="B65" s="458"/>
      <c r="C65" s="422"/>
      <c r="D65" s="485"/>
      <c r="E65" s="486"/>
      <c r="F65" s="487"/>
      <c r="G65" s="760"/>
    </row>
    <row r="66" spans="1:7" ht="9.75" customHeight="1" hidden="1">
      <c r="A66" s="496"/>
      <c r="B66" s="458"/>
      <c r="C66" s="422"/>
      <c r="D66" s="485"/>
      <c r="E66" s="486"/>
      <c r="F66" s="487"/>
      <c r="G66" s="760"/>
    </row>
    <row r="67" spans="1:7" ht="9.75" customHeight="1" hidden="1">
      <c r="A67" s="496"/>
      <c r="B67" s="458"/>
      <c r="C67" s="422"/>
      <c r="D67" s="485"/>
      <c r="E67" s="486"/>
      <c r="F67" s="487"/>
      <c r="G67" s="760"/>
    </row>
    <row r="68" spans="1:7" ht="9.75" customHeight="1" hidden="1">
      <c r="A68" s="496"/>
      <c r="B68" s="458"/>
      <c r="C68" s="422"/>
      <c r="D68" s="485"/>
      <c r="E68" s="486"/>
      <c r="F68" s="487"/>
      <c r="G68" s="760"/>
    </row>
    <row r="69" spans="1:7" ht="9.75" customHeight="1" hidden="1">
      <c r="A69" s="496"/>
      <c r="B69" s="458"/>
      <c r="C69" s="422"/>
      <c r="D69" s="485"/>
      <c r="E69" s="486"/>
      <c r="F69" s="487"/>
      <c r="G69" s="760"/>
    </row>
    <row r="70" spans="1:7" ht="9.75" customHeight="1" hidden="1">
      <c r="A70" s="496"/>
      <c r="B70" s="458"/>
      <c r="C70" s="422"/>
      <c r="D70" s="485"/>
      <c r="E70" s="486"/>
      <c r="F70" s="487"/>
      <c r="G70" s="760"/>
    </row>
    <row r="71" spans="1:7" ht="9.75" customHeight="1" hidden="1">
      <c r="A71" s="496"/>
      <c r="B71" s="458"/>
      <c r="C71" s="422"/>
      <c r="D71" s="485"/>
      <c r="E71" s="486"/>
      <c r="F71" s="487"/>
      <c r="G71" s="760"/>
    </row>
    <row r="72" spans="1:7" ht="9.75" customHeight="1" hidden="1">
      <c r="A72" s="496"/>
      <c r="B72" s="458"/>
      <c r="C72" s="422"/>
      <c r="D72" s="485"/>
      <c r="E72" s="486"/>
      <c r="F72" s="487"/>
      <c r="G72" s="760"/>
    </row>
    <row r="73" spans="1:7" ht="9.75" customHeight="1" hidden="1">
      <c r="A73" s="496"/>
      <c r="B73" s="458"/>
      <c r="C73" s="422"/>
      <c r="D73" s="485"/>
      <c r="E73" s="486"/>
      <c r="F73" s="487"/>
      <c r="G73" s="760"/>
    </row>
    <row r="74" spans="1:11" ht="9.75" customHeight="1" hidden="1">
      <c r="A74" s="496"/>
      <c r="B74" s="605"/>
      <c r="C74" s="605"/>
      <c r="D74" s="605"/>
      <c r="E74" s="605"/>
      <c r="F74" s="616"/>
      <c r="G74" s="702"/>
      <c r="K74" s="609"/>
    </row>
    <row r="75" spans="1:7" ht="17.25" customHeight="1" hidden="1">
      <c r="A75" s="496"/>
      <c r="B75" s="420"/>
      <c r="C75" s="421"/>
      <c r="D75" s="483"/>
      <c r="E75" s="484"/>
      <c r="F75" s="459"/>
      <c r="G75" s="459"/>
    </row>
    <row r="76" spans="1:7" ht="15">
      <c r="A76" s="496"/>
      <c r="B76" s="458"/>
      <c r="C76" s="422"/>
      <c r="D76" s="485"/>
      <c r="E76" s="486"/>
      <c r="F76" s="487"/>
      <c r="G76" s="480" t="s">
        <v>548</v>
      </c>
    </row>
    <row r="77" spans="1:11" ht="27" customHeight="1">
      <c r="A77" s="496">
        <v>9</v>
      </c>
      <c r="B77" s="1244" t="s">
        <v>844</v>
      </c>
      <c r="C77" s="1244"/>
      <c r="D77" s="1244"/>
      <c r="E77" s="1244"/>
      <c r="F77" s="1245"/>
      <c r="G77" s="1030">
        <v>7192</v>
      </c>
      <c r="K77" s="609"/>
    </row>
    <row r="78" spans="1:11" ht="5.25" customHeight="1">
      <c r="A78" s="496"/>
      <c r="B78" s="605"/>
      <c r="C78" s="605"/>
      <c r="D78" s="605"/>
      <c r="E78" s="605"/>
      <c r="F78" s="616"/>
      <c r="G78" s="459"/>
      <c r="K78" s="609"/>
    </row>
    <row r="79" spans="1:7" ht="15">
      <c r="A79" s="496"/>
      <c r="B79" s="458"/>
      <c r="C79" s="422"/>
      <c r="D79" s="485"/>
      <c r="E79" s="486"/>
      <c r="F79" s="487"/>
      <c r="G79" s="480" t="s">
        <v>302</v>
      </c>
    </row>
    <row r="80" spans="1:11" ht="27" customHeight="1">
      <c r="A80" s="496">
        <v>10</v>
      </c>
      <c r="B80" s="1244" t="s">
        <v>845</v>
      </c>
      <c r="C80" s="1244"/>
      <c r="D80" s="1244"/>
      <c r="E80" s="1244"/>
      <c r="F80" s="1245"/>
      <c r="G80" s="1030">
        <v>13</v>
      </c>
      <c r="K80" s="609"/>
    </row>
    <row r="81" spans="1:11" ht="5.25" customHeight="1">
      <c r="A81" s="496"/>
      <c r="B81" s="605"/>
      <c r="C81" s="605"/>
      <c r="D81" s="605"/>
      <c r="E81" s="605"/>
      <c r="F81" s="616"/>
      <c r="G81" s="459"/>
      <c r="K81" s="609"/>
    </row>
    <row r="82" spans="1:7" ht="15">
      <c r="A82" s="496"/>
      <c r="B82" s="458"/>
      <c r="C82" s="422"/>
      <c r="D82" s="485"/>
      <c r="E82" s="486"/>
      <c r="F82" s="487"/>
      <c r="G82" s="480" t="s">
        <v>302</v>
      </c>
    </row>
    <row r="83" spans="1:11" ht="27" customHeight="1">
      <c r="A83" s="496">
        <v>11</v>
      </c>
      <c r="B83" s="1244" t="s">
        <v>883</v>
      </c>
      <c r="C83" s="1244"/>
      <c r="D83" s="1244"/>
      <c r="E83" s="1244"/>
      <c r="F83" s="1245"/>
      <c r="G83" s="1030">
        <v>0</v>
      </c>
      <c r="K83" s="609"/>
    </row>
    <row r="84" spans="1:11" ht="5.25" customHeight="1">
      <c r="A84" s="496"/>
      <c r="B84" s="605"/>
      <c r="C84" s="605"/>
      <c r="D84" s="605"/>
      <c r="E84" s="605"/>
      <c r="F84" s="616"/>
      <c r="G84" s="459"/>
      <c r="K84" s="609"/>
    </row>
    <row r="85" spans="1:7" ht="15">
      <c r="A85" s="1280"/>
      <c r="B85" s="1280"/>
      <c r="C85" s="1280"/>
      <c r="D85" s="1280"/>
      <c r="E85" s="1280"/>
      <c r="F85" s="1281"/>
      <c r="G85" s="480" t="s">
        <v>302</v>
      </c>
    </row>
    <row r="86" spans="1:11" ht="27" customHeight="1">
      <c r="A86" s="496">
        <v>12</v>
      </c>
      <c r="B86" s="1244" t="s">
        <v>687</v>
      </c>
      <c r="C86" s="1244"/>
      <c r="D86" s="1244"/>
      <c r="E86" s="1244"/>
      <c r="F86" s="1245"/>
      <c r="G86" s="1030">
        <v>332</v>
      </c>
      <c r="K86" s="609"/>
    </row>
    <row r="87" spans="1:11" ht="4.5" customHeight="1">
      <c r="A87" s="496"/>
      <c r="B87" s="605"/>
      <c r="C87" s="605"/>
      <c r="D87" s="605"/>
      <c r="E87" s="605"/>
      <c r="F87" s="616"/>
      <c r="G87" s="616"/>
      <c r="K87" s="609"/>
    </row>
    <row r="88" spans="1:7" ht="15">
      <c r="A88" s="496"/>
      <c r="B88" s="458"/>
      <c r="C88" s="422"/>
      <c r="D88" s="485"/>
      <c r="E88" s="486"/>
      <c r="F88" s="487"/>
      <c r="G88" s="480" t="s">
        <v>703</v>
      </c>
    </row>
    <row r="89" spans="1:11" ht="27" customHeight="1">
      <c r="A89" s="496">
        <v>13</v>
      </c>
      <c r="B89" s="1244" t="s">
        <v>688</v>
      </c>
      <c r="C89" s="1244"/>
      <c r="D89" s="1244"/>
      <c r="E89" s="1244"/>
      <c r="F89" s="1245"/>
      <c r="G89" s="1030">
        <v>0</v>
      </c>
      <c r="K89" s="609"/>
    </row>
    <row r="90" spans="1:11" ht="4.5" customHeight="1">
      <c r="A90" s="496"/>
      <c r="B90" s="605"/>
      <c r="C90" s="605"/>
      <c r="D90" s="605"/>
      <c r="E90" s="605"/>
      <c r="F90" s="616"/>
      <c r="G90" s="616"/>
      <c r="K90" s="609"/>
    </row>
    <row r="91" spans="1:7" ht="15">
      <c r="A91" s="496"/>
      <c r="B91" s="458"/>
      <c r="C91" s="422"/>
      <c r="D91" s="485"/>
      <c r="E91" s="486"/>
      <c r="F91" s="487"/>
      <c r="G91" s="480" t="s">
        <v>302</v>
      </c>
    </row>
    <row r="92" spans="1:11" ht="27" customHeight="1">
      <c r="A92" s="496">
        <v>30</v>
      </c>
      <c r="B92" s="1244" t="s">
        <v>689</v>
      </c>
      <c r="C92" s="1244"/>
      <c r="D92" s="1244"/>
      <c r="E92" s="1244"/>
      <c r="F92" s="1245"/>
      <c r="G92" s="1030">
        <v>0</v>
      </c>
      <c r="K92" s="609"/>
    </row>
    <row r="93" spans="1:11" ht="4.5" customHeight="1">
      <c r="A93" s="496"/>
      <c r="B93" s="605"/>
      <c r="C93" s="605"/>
      <c r="D93" s="605"/>
      <c r="E93" s="605"/>
      <c r="F93" s="616"/>
      <c r="G93" s="616"/>
      <c r="K93" s="609"/>
    </row>
    <row r="94" spans="1:7" ht="15">
      <c r="A94" s="496"/>
      <c r="B94" s="458"/>
      <c r="C94" s="422"/>
      <c r="D94" s="485"/>
      <c r="E94" s="486"/>
      <c r="F94" s="487"/>
      <c r="G94" s="480" t="s">
        <v>302</v>
      </c>
    </row>
    <row r="95" spans="1:11" ht="27" customHeight="1">
      <c r="A95" s="496">
        <v>31</v>
      </c>
      <c r="B95" s="1244" t="s">
        <v>690</v>
      </c>
      <c r="C95" s="1244"/>
      <c r="D95" s="1244"/>
      <c r="E95" s="1244"/>
      <c r="F95" s="1245"/>
      <c r="G95" s="1030">
        <v>0</v>
      </c>
      <c r="K95" s="609"/>
    </row>
    <row r="96" spans="1:11" ht="4.5" customHeight="1">
      <c r="A96" s="496"/>
      <c r="B96" s="605"/>
      <c r="C96" s="605"/>
      <c r="D96" s="605"/>
      <c r="E96" s="605"/>
      <c r="F96" s="616"/>
      <c r="G96" s="616"/>
      <c r="K96" s="609"/>
    </row>
    <row r="97" spans="1:7" ht="15">
      <c r="A97" s="496"/>
      <c r="B97" s="458"/>
      <c r="C97" s="422"/>
      <c r="D97" s="485"/>
      <c r="E97" s="486"/>
      <c r="F97" s="487"/>
      <c r="G97" s="480" t="s">
        <v>302</v>
      </c>
    </row>
    <row r="98" spans="1:11" ht="27" customHeight="1">
      <c r="A98" s="496">
        <v>32</v>
      </c>
      <c r="B98" s="1244" t="s">
        <v>691</v>
      </c>
      <c r="C98" s="1244"/>
      <c r="D98" s="1244"/>
      <c r="E98" s="1244"/>
      <c r="F98" s="1245"/>
      <c r="G98" s="1030">
        <v>3</v>
      </c>
      <c r="K98" s="609"/>
    </row>
    <row r="99" spans="1:11" ht="20.25" customHeight="1">
      <c r="A99" s="496"/>
      <c r="B99" s="605"/>
      <c r="C99" s="605"/>
      <c r="D99" s="605"/>
      <c r="E99" s="605"/>
      <c r="F99" s="616"/>
      <c r="G99" s="459"/>
      <c r="K99" s="609"/>
    </row>
    <row r="100" spans="1:7" ht="33" customHeight="1">
      <c r="A100" s="496"/>
      <c r="B100" s="1258" t="s">
        <v>574</v>
      </c>
      <c r="C100" s="1259"/>
      <c r="D100" s="1259"/>
      <c r="E100" s="1259"/>
      <c r="F100" s="1259"/>
      <c r="G100" s="1260"/>
    </row>
    <row r="101" spans="1:11" ht="41.25" customHeight="1">
      <c r="A101" s="496"/>
      <c r="B101" s="1249"/>
      <c r="C101" s="1250"/>
      <c r="D101" s="1250"/>
      <c r="E101" s="1250"/>
      <c r="F101" s="1250"/>
      <c r="G101" s="1251"/>
      <c r="K101" s="609">
        <f>IF(LEN(B101)&gt;500,"IL NUMERO MASSIMO DI CARATTERI CONSENTITO E' 500","")</f>
      </c>
    </row>
    <row r="102" spans="1:11" ht="12.75" customHeight="1">
      <c r="A102" s="496"/>
      <c r="B102" s="1252"/>
      <c r="C102" s="1253"/>
      <c r="D102" s="1253"/>
      <c r="E102" s="1253"/>
      <c r="F102" s="1253"/>
      <c r="G102" s="1254"/>
      <c r="K102" s="609"/>
    </row>
    <row r="103" spans="1:7" ht="12.75" customHeight="1">
      <c r="A103" s="496"/>
      <c r="B103" s="1252"/>
      <c r="C103" s="1253"/>
      <c r="D103" s="1253"/>
      <c r="E103" s="1253"/>
      <c r="F103" s="1253"/>
      <c r="G103" s="1254"/>
    </row>
    <row r="104" spans="1:7" ht="12.75" customHeight="1">
      <c r="A104" s="496"/>
      <c r="B104" s="1252"/>
      <c r="C104" s="1253"/>
      <c r="D104" s="1253"/>
      <c r="E104" s="1253"/>
      <c r="F104" s="1253"/>
      <c r="G104" s="1254"/>
    </row>
    <row r="105" spans="1:7" ht="12.75" customHeight="1">
      <c r="A105" s="496"/>
      <c r="B105" s="1255"/>
      <c r="C105" s="1256"/>
      <c r="D105" s="1256"/>
      <c r="E105" s="1256"/>
      <c r="F105" s="1256"/>
      <c r="G105" s="1257"/>
    </row>
    <row r="106" spans="2:7" ht="38.25" customHeight="1">
      <c r="B106" s="1282" t="s">
        <v>452</v>
      </c>
      <c r="C106" s="1282"/>
      <c r="D106" s="1282"/>
      <c r="E106" s="1282"/>
      <c r="F106" s="1282"/>
      <c r="G106" s="1282"/>
    </row>
    <row r="107" ht="51" customHeight="1">
      <c r="C107" s="771"/>
    </row>
    <row r="108" spans="1:7" s="713" customFormat="1" ht="38.25" customHeight="1">
      <c r="A108" s="1031"/>
      <c r="B108" s="1279" t="s">
        <v>0</v>
      </c>
      <c r="C108" s="1279"/>
      <c r="D108" s="1279"/>
      <c r="E108" s="1279"/>
      <c r="F108" s="1279"/>
      <c r="G108" s="1279"/>
    </row>
    <row r="109" ht="51.75" customHeight="1">
      <c r="C109" s="771"/>
    </row>
    <row r="110" ht="18" customHeight="1">
      <c r="C110" s="771"/>
    </row>
    <row r="111" spans="1:11" ht="15">
      <c r="A111" s="481"/>
      <c r="B111" s="489" t="s">
        <v>40</v>
      </c>
      <c r="C111" s="770"/>
      <c r="D111" s="488"/>
      <c r="E111" s="488"/>
      <c r="F111" s="488"/>
      <c r="G111" s="488"/>
      <c r="H111" s="617"/>
      <c r="I111" s="617"/>
      <c r="J111" s="617"/>
      <c r="K111" s="617"/>
    </row>
    <row r="112" spans="1:11" ht="12.75">
      <c r="A112" s="481"/>
      <c r="B112" s="515" t="s">
        <v>470</v>
      </c>
      <c r="C112" s="515">
        <f>IF(COCOCO!$I$24&gt;0,1,0)</f>
        <v>0</v>
      </c>
      <c r="D112" s="488"/>
      <c r="E112" s="488"/>
      <c r="F112" s="488"/>
      <c r="G112" s="488"/>
      <c r="H112" s="617"/>
      <c r="I112" s="617"/>
      <c r="J112" s="617"/>
      <c r="K112" s="617"/>
    </row>
    <row r="113" spans="1:11" ht="12.75">
      <c r="A113" s="481"/>
      <c r="B113" s="515" t="s">
        <v>468</v>
      </c>
      <c r="C113" s="515">
        <f>IF('SI_1A(COMUNI-PROVINCE)'!$I$64+'SI_1A(UNIONE_COMUNI)'!$I$64+'SI_1A(COMUNITA_MONTANE)'!$I$64&gt;0,1,0)</f>
        <v>1</v>
      </c>
      <c r="D113" s="488"/>
      <c r="E113" s="488"/>
      <c r="F113" s="488"/>
      <c r="G113" s="488"/>
      <c r="H113" s="617"/>
      <c r="I113" s="617"/>
      <c r="J113" s="617"/>
      <c r="K113" s="617"/>
    </row>
    <row r="114" spans="1:7" s="620" customFormat="1" ht="12.75">
      <c r="A114" s="618"/>
      <c r="B114" s="515" t="s">
        <v>1</v>
      </c>
      <c r="C114" s="515">
        <f>IF(('t1'!$E$49+'t1'!$L$49+'t1'!$M$49)&gt;0,1,0)</f>
        <v>1</v>
      </c>
      <c r="D114" s="619"/>
      <c r="E114" s="515" t="s">
        <v>2</v>
      </c>
      <c r="F114" s="515">
        <f>IF(COUNTIF('Squadratura 1'!J6:J48,"ERRORE")=0,0,1)</f>
        <v>1</v>
      </c>
      <c r="G114" s="619"/>
    </row>
    <row r="115" spans="1:7" s="620" customFormat="1" ht="12.75">
      <c r="A115" s="618"/>
      <c r="B115" s="515" t="s">
        <v>3</v>
      </c>
      <c r="C115" s="515">
        <f>IF(SUM('t2'!C11:P11)&gt;0,1,0)</f>
        <v>1</v>
      </c>
      <c r="D115" s="619"/>
      <c r="E115" s="515" t="s">
        <v>4</v>
      </c>
      <c r="F115" s="515">
        <f>IF(OR('Squadratura 2'!G50="ERRORE",'Squadratura 2'!L50="ERRORE"),1,0)</f>
        <v>0</v>
      </c>
      <c r="G115" s="619"/>
    </row>
    <row r="116" spans="1:11" s="620" customFormat="1" ht="12.75">
      <c r="A116" s="618"/>
      <c r="B116" s="515" t="s">
        <v>469</v>
      </c>
      <c r="C116" s="515">
        <f>IF('t2A'!$T$17&gt;0,1,0)</f>
        <v>1</v>
      </c>
      <c r="D116" s="619"/>
      <c r="E116" s="515" t="s">
        <v>6</v>
      </c>
      <c r="F116" s="515">
        <f>IF(OR('Squadratura 3'!N51="ERRORE",'Squadratura 3'!Z51="ERRORE"),1,0)</f>
        <v>1</v>
      </c>
      <c r="G116" s="619"/>
      <c r="K116" s="621"/>
    </row>
    <row r="117" spans="1:11" s="620" customFormat="1" ht="12.75">
      <c r="A117" s="618"/>
      <c r="B117" s="515" t="s">
        <v>5</v>
      </c>
      <c r="C117" s="515">
        <f>IF(SUM('t3'!C49:R49)&gt;0,1,0)</f>
        <v>0</v>
      </c>
      <c r="D117" s="619"/>
      <c r="E117" s="515" t="s">
        <v>8</v>
      </c>
      <c r="F117" s="515">
        <f>IF(COUNTIF('Squadratura 4'!I6:I48,"ERRORE")=0,0,1)</f>
        <v>0</v>
      </c>
      <c r="G117" s="515"/>
      <c r="K117" s="621"/>
    </row>
    <row r="118" spans="1:11" s="620" customFormat="1" ht="12.75">
      <c r="A118" s="618"/>
      <c r="B118" s="515" t="s">
        <v>7</v>
      </c>
      <c r="C118" s="515">
        <f>IF(('t4'!$AT$49)&gt;0,1,0)</f>
        <v>1</v>
      </c>
      <c r="D118" s="619"/>
      <c r="E118" s="515" t="s">
        <v>10</v>
      </c>
      <c r="F118" s="515">
        <f>IF(OR('t15(1)'!H4&lt;&gt;"OK",'t15(2)'!H4&lt;&gt;"OK"),1,0)</f>
        <v>0</v>
      </c>
      <c r="G118" s="619"/>
      <c r="K118" s="621"/>
    </row>
    <row r="119" spans="1:11" s="620" customFormat="1" ht="12.75">
      <c r="A119" s="618"/>
      <c r="B119" s="515" t="s">
        <v>9</v>
      </c>
      <c r="C119" s="515">
        <f>IF(('t5'!$Q$50+'t5'!$R$50)&gt;0,1,0)</f>
        <v>1</v>
      </c>
      <c r="D119" s="619"/>
      <c r="E119" s="515" t="s">
        <v>13</v>
      </c>
      <c r="F119" s="515">
        <f>IF(COUNTIF('Incongruenza 1'!D6:D11,"OK")=6,0,1)</f>
        <v>0</v>
      </c>
      <c r="G119" s="619"/>
      <c r="K119" s="621"/>
    </row>
    <row r="120" spans="1:11" s="620" customFormat="1" ht="12.75">
      <c r="A120" s="618"/>
      <c r="B120" s="515" t="s">
        <v>11</v>
      </c>
      <c r="C120" s="515">
        <f>IF(('t6'!$S$50+'t6'!$T$50)&gt;0,1,0)</f>
        <v>1</v>
      </c>
      <c r="D120" s="619"/>
      <c r="E120" s="515" t="s">
        <v>15</v>
      </c>
      <c r="F120" s="515">
        <f>IF(COUNTIF('Incongruenza 2'!I6:I48,"ERRORE")=0,0,1)</f>
        <v>0</v>
      </c>
      <c r="G120" s="619"/>
      <c r="K120" s="621"/>
    </row>
    <row r="121" spans="1:11" s="620" customFormat="1" ht="12.75">
      <c r="A121" s="618"/>
      <c r="B121" s="515" t="s">
        <v>12</v>
      </c>
      <c r="C121" s="515">
        <f>IF(('t7'!$U$49+'t7'!$V$49)&gt;0,1,0)</f>
        <v>1</v>
      </c>
      <c r="D121" s="619"/>
      <c r="E121" s="515" t="s">
        <v>17</v>
      </c>
      <c r="F121" s="515">
        <f>IF(OR(AND('Incongruenza 4 e controlli t14'!F21=" ",'Incongruenza 4 e controlli t14'!F23=" "),AND('Incongruenza 4 e controlli t14'!F21="OK",'Incongruenza 4 e controlli t14'!F23="OK")),0,1)</f>
        <v>0</v>
      </c>
      <c r="G121" s="619"/>
      <c r="K121" s="621"/>
    </row>
    <row r="122" spans="1:11" s="620" customFormat="1" ht="12.75">
      <c r="A122" s="618"/>
      <c r="B122" s="515" t="s">
        <v>14</v>
      </c>
      <c r="C122" s="515">
        <f>IF(('t8'!$Y$49+'t8'!$Z$49)&gt;0,1,0)</f>
        <v>1</v>
      </c>
      <c r="D122" s="619"/>
      <c r="E122" s="515" t="s">
        <v>19</v>
      </c>
      <c r="F122" s="515">
        <f>IF(COUNTIF('Incongruenza 5'!G6:G48,"ERRORE")=0,0,1)</f>
        <v>0</v>
      </c>
      <c r="G122" s="619"/>
      <c r="K122" s="621"/>
    </row>
    <row r="123" spans="1:11" s="620" customFormat="1" ht="12.75">
      <c r="A123" s="618"/>
      <c r="B123" s="515" t="s">
        <v>16</v>
      </c>
      <c r="C123" s="515">
        <f>IF(('t9'!$O$49+'t9'!$P$49)&gt;0,1,0)</f>
        <v>1</v>
      </c>
      <c r="D123" s="619"/>
      <c r="E123" s="515" t="s">
        <v>21</v>
      </c>
      <c r="F123" s="515">
        <f>IF(COUNTIF('Incongruenza 6'!E6:E48,"ERRORE")=0,0,1)</f>
        <v>0</v>
      </c>
      <c r="G123" s="619"/>
      <c r="K123" s="621"/>
    </row>
    <row r="124" spans="1:7" s="620" customFormat="1" ht="12.75">
      <c r="A124" s="618"/>
      <c r="B124" s="515" t="s">
        <v>18</v>
      </c>
      <c r="C124" s="515">
        <f>IF(('t10'!$AU$49+'t10'!$AV$49)&gt;0,1,0)</f>
        <v>0</v>
      </c>
      <c r="D124" s="619"/>
      <c r="E124" s="515" t="s">
        <v>23</v>
      </c>
      <c r="F124" s="515">
        <f>IF(COUNTIF('Incongruenza 7'!I6:I48,"ERRORE")=0,0,1)</f>
        <v>0</v>
      </c>
      <c r="G124" s="619"/>
    </row>
    <row r="125" spans="1:7" s="620" customFormat="1" ht="12.75">
      <c r="A125" s="618"/>
      <c r="B125" s="515" t="s">
        <v>20</v>
      </c>
      <c r="C125" s="515">
        <f>IF(('t11'!$AA$51+'t11'!$AB$51)&gt;0,1,0)</f>
        <v>1</v>
      </c>
      <c r="D125" s="619"/>
      <c r="E125" s="619"/>
      <c r="F125" s="515"/>
      <c r="G125" s="619"/>
    </row>
    <row r="126" spans="1:7" s="620" customFormat="1" ht="12.75">
      <c r="A126" s="618"/>
      <c r="B126" s="515" t="s">
        <v>22</v>
      </c>
      <c r="C126" s="515">
        <f>IF(('t12'!$K$49+'t12'!$C$49)&gt;0,1,0)</f>
        <v>1</v>
      </c>
      <c r="D126" s="619"/>
      <c r="E126" s="619"/>
      <c r="F126" s="619"/>
      <c r="G126" s="619"/>
    </row>
    <row r="127" spans="1:7" s="620" customFormat="1" ht="12.75">
      <c r="A127" s="618"/>
      <c r="B127" s="515" t="s">
        <v>24</v>
      </c>
      <c r="C127" s="515">
        <f>IF(('t13'!$P$49)&gt;0,1,0)</f>
        <v>1</v>
      </c>
      <c r="D127" s="619"/>
      <c r="E127" s="619"/>
      <c r="F127" s="619"/>
      <c r="G127" s="619"/>
    </row>
    <row r="128" spans="1:7" s="620" customFormat="1" ht="12.75">
      <c r="A128" s="618"/>
      <c r="B128" s="515" t="s">
        <v>25</v>
      </c>
      <c r="C128" s="515">
        <f>IF(('Incongruenza 4 e controlli t14'!$C$28)&gt;0,1,0)</f>
        <v>1</v>
      </c>
      <c r="D128" s="619"/>
      <c r="E128" s="619"/>
      <c r="F128" s="619"/>
      <c r="G128" s="619"/>
    </row>
    <row r="129" spans="1:7" s="620" customFormat="1" ht="12.75">
      <c r="A129" s="618"/>
      <c r="B129" s="515" t="s">
        <v>26</v>
      </c>
      <c r="C129" s="515">
        <f>IF(('t15(1)'!$C$36+'t15(1)'!$G$36+'t15(2)'!$C$45+'t15(2)'!$G$45)&gt;0,1,0)</f>
        <v>1</v>
      </c>
      <c r="D129" s="619"/>
      <c r="E129" s="488"/>
      <c r="F129" s="488"/>
      <c r="G129" s="619"/>
    </row>
    <row r="130" spans="1:7" s="623" customFormat="1" ht="12.75">
      <c r="A130" s="622"/>
      <c r="B130" s="515" t="s">
        <v>27</v>
      </c>
      <c r="C130" s="515">
        <f>IF(('SI_2(1)'!K201+'SI_2(2)'!K201)&gt;0,1,0)</f>
        <v>1</v>
      </c>
      <c r="D130" s="488"/>
      <c r="E130" s="488"/>
      <c r="F130" s="488"/>
      <c r="G130" s="488"/>
    </row>
    <row r="131" spans="1:7" s="623" customFormat="1" ht="12.75">
      <c r="A131" s="622"/>
      <c r="B131" s="488"/>
      <c r="C131" s="488"/>
      <c r="D131" s="488"/>
      <c r="E131" s="488"/>
      <c r="F131" s="488"/>
      <c r="G131" s="488"/>
    </row>
    <row r="132" spans="1:7" s="623" customFormat="1" ht="12.75">
      <c r="A132" s="622"/>
      <c r="B132" s="488"/>
      <c r="C132" s="488"/>
      <c r="D132" s="488"/>
      <c r="E132" s="488"/>
      <c r="F132" s="488"/>
      <c r="G132" s="488"/>
    </row>
    <row r="133" spans="1:7" s="623" customFormat="1" ht="12.75">
      <c r="A133" s="622"/>
      <c r="B133" s="488"/>
      <c r="C133" s="488"/>
      <c r="D133" s="488"/>
      <c r="E133" s="488"/>
      <c r="F133" s="488"/>
      <c r="G133" s="488"/>
    </row>
    <row r="134" spans="1:7" s="623" customFormat="1" ht="12.75">
      <c r="A134" s="622"/>
      <c r="B134" s="488"/>
      <c r="C134" s="488"/>
      <c r="D134" s="488"/>
      <c r="E134" s="488"/>
      <c r="F134" s="488"/>
      <c r="G134" s="488"/>
    </row>
    <row r="135" spans="1:7" s="623" customFormat="1" ht="12.75">
      <c r="A135" s="622"/>
      <c r="B135" s="488"/>
      <c r="C135" s="488"/>
      <c r="D135" s="488"/>
      <c r="E135" s="488"/>
      <c r="F135" s="488"/>
      <c r="G135" s="488"/>
    </row>
    <row r="136" spans="1:7" s="623" customFormat="1" ht="12.75">
      <c r="A136" s="622"/>
      <c r="B136" s="488"/>
      <c r="C136" s="488"/>
      <c r="D136" s="488"/>
      <c r="E136" s="488"/>
      <c r="F136" s="488"/>
      <c r="G136" s="488"/>
    </row>
    <row r="137" spans="1:7" s="623" customFormat="1" ht="12.75">
      <c r="A137" s="622"/>
      <c r="B137" s="488"/>
      <c r="C137" s="488"/>
      <c r="D137" s="488"/>
      <c r="E137" s="488"/>
      <c r="F137" s="488"/>
      <c r="G137" s="488"/>
    </row>
    <row r="138" spans="1:7" s="623" customFormat="1" ht="12.75">
      <c r="A138" s="622"/>
      <c r="B138" s="488"/>
      <c r="C138" s="488"/>
      <c r="D138" s="488"/>
      <c r="E138" s="488"/>
      <c r="F138" s="488"/>
      <c r="G138" s="488"/>
    </row>
    <row r="139" spans="1:7" s="623" customFormat="1" ht="12.75">
      <c r="A139" s="622"/>
      <c r="B139" s="488"/>
      <c r="C139" s="488"/>
      <c r="D139" s="488"/>
      <c r="E139" s="488"/>
      <c r="F139" s="488"/>
      <c r="G139" s="488"/>
    </row>
    <row r="140" spans="1:7" s="623" customFormat="1" ht="12.75">
      <c r="A140" s="622"/>
      <c r="B140" s="488"/>
      <c r="C140" s="488"/>
      <c r="D140" s="488"/>
      <c r="E140" s="488"/>
      <c r="F140" s="488"/>
      <c r="G140" s="488"/>
    </row>
    <row r="141" spans="1:7" s="623" customFormat="1" ht="12.75">
      <c r="A141" s="622"/>
      <c r="B141" s="488"/>
      <c r="C141" s="488"/>
      <c r="D141" s="488"/>
      <c r="E141" s="488"/>
      <c r="F141" s="488"/>
      <c r="G141" s="488"/>
    </row>
    <row r="142" spans="1:7" s="623" customFormat="1" ht="12.75">
      <c r="A142" s="622"/>
      <c r="B142" s="488"/>
      <c r="C142" s="488"/>
      <c r="D142" s="488"/>
      <c r="E142" s="488"/>
      <c r="F142" s="488"/>
      <c r="G142" s="488"/>
    </row>
    <row r="143" spans="1:7" s="623" customFormat="1" ht="12.75">
      <c r="A143" s="622"/>
      <c r="B143" s="488"/>
      <c r="C143" s="488"/>
      <c r="D143" s="488"/>
      <c r="E143" s="488"/>
      <c r="F143" s="488"/>
      <c r="G143" s="488"/>
    </row>
    <row r="144" spans="1:7" s="623" customFormat="1" ht="12.75">
      <c r="A144" s="622"/>
      <c r="B144" s="488"/>
      <c r="C144" s="488"/>
      <c r="D144" s="488"/>
      <c r="E144" s="488"/>
      <c r="F144" s="488"/>
      <c r="G144" s="488"/>
    </row>
    <row r="145" spans="1:7" s="623" customFormat="1" ht="12.75">
      <c r="A145" s="622"/>
      <c r="B145" s="488"/>
      <c r="C145" s="488"/>
      <c r="D145" s="488"/>
      <c r="E145" s="488"/>
      <c r="F145" s="488"/>
      <c r="G145" s="488"/>
    </row>
    <row r="146" spans="1:7" s="623" customFormat="1" ht="12.75">
      <c r="A146" s="622"/>
      <c r="B146" s="488"/>
      <c r="C146" s="488"/>
      <c r="D146" s="488"/>
      <c r="E146" s="488"/>
      <c r="F146" s="488"/>
      <c r="G146" s="488"/>
    </row>
    <row r="147" spans="1:7" s="623" customFormat="1" ht="12.75">
      <c r="A147" s="622"/>
      <c r="B147" s="488"/>
      <c r="C147" s="488"/>
      <c r="D147" s="488"/>
      <c r="E147" s="488"/>
      <c r="F147" s="488"/>
      <c r="G147" s="488"/>
    </row>
    <row r="148" spans="1:7" s="623" customFormat="1" ht="12.75">
      <c r="A148" s="622"/>
      <c r="B148" s="488"/>
      <c r="C148" s="488"/>
      <c r="D148" s="488"/>
      <c r="E148" s="488"/>
      <c r="F148" s="488"/>
      <c r="G148" s="488"/>
    </row>
    <row r="149" spans="1:7" s="623" customFormat="1" ht="12.75">
      <c r="A149" s="622"/>
      <c r="B149" s="488"/>
      <c r="C149" s="488"/>
      <c r="D149" s="488"/>
      <c r="E149" s="488"/>
      <c r="F149" s="488"/>
      <c r="G149" s="488"/>
    </row>
    <row r="150" spans="1:7" s="623" customFormat="1" ht="12.75">
      <c r="A150" s="622"/>
      <c r="B150" s="488"/>
      <c r="C150" s="488"/>
      <c r="D150" s="488"/>
      <c r="E150" s="488"/>
      <c r="F150" s="488"/>
      <c r="G150" s="488"/>
    </row>
    <row r="151" spans="1:7" s="623" customFormat="1" ht="12.75">
      <c r="A151" s="622"/>
      <c r="B151" s="488"/>
      <c r="C151" s="488"/>
      <c r="D151" s="488"/>
      <c r="E151" s="488"/>
      <c r="F151" s="488"/>
      <c r="G151" s="488"/>
    </row>
    <row r="152" spans="1:7" s="623" customFormat="1" ht="12.75">
      <c r="A152" s="622"/>
      <c r="B152" s="488"/>
      <c r="C152" s="488"/>
      <c r="D152" s="488"/>
      <c r="E152" s="488"/>
      <c r="F152" s="488"/>
      <c r="G152" s="488"/>
    </row>
    <row r="153" spans="1:7" s="623" customFormat="1" ht="12.75">
      <c r="A153" s="622"/>
      <c r="B153" s="488"/>
      <c r="C153" s="488"/>
      <c r="D153" s="488"/>
      <c r="E153" s="488"/>
      <c r="F153" s="488"/>
      <c r="G153" s="488"/>
    </row>
    <row r="154" spans="1:7" s="623" customFormat="1" ht="12.75">
      <c r="A154" s="622"/>
      <c r="B154" s="488"/>
      <c r="C154" s="488"/>
      <c r="D154" s="488"/>
      <c r="E154" s="488"/>
      <c r="F154" s="488"/>
      <c r="G154" s="488"/>
    </row>
    <row r="155" spans="1:7" s="623" customFormat="1" ht="12.75">
      <c r="A155" s="622"/>
      <c r="B155" s="488"/>
      <c r="C155" s="488"/>
      <c r="D155" s="488"/>
      <c r="E155" s="488"/>
      <c r="F155" s="488"/>
      <c r="G155" s="488"/>
    </row>
    <row r="156" spans="1:7" s="623" customFormat="1" ht="12.75">
      <c r="A156" s="622"/>
      <c r="B156" s="488"/>
      <c r="C156" s="488"/>
      <c r="D156" s="488"/>
      <c r="E156" s="488"/>
      <c r="F156" s="488"/>
      <c r="G156" s="488"/>
    </row>
    <row r="157" spans="1:7" s="623" customFormat="1" ht="12.75">
      <c r="A157" s="622"/>
      <c r="B157" s="488"/>
      <c r="C157" s="488"/>
      <c r="D157" s="488"/>
      <c r="E157" s="488"/>
      <c r="F157" s="488"/>
      <c r="G157" s="488"/>
    </row>
    <row r="158" spans="1:7" s="623" customFormat="1" ht="12.75">
      <c r="A158" s="622"/>
      <c r="B158" s="488"/>
      <c r="C158" s="488"/>
      <c r="D158" s="488"/>
      <c r="E158" s="488"/>
      <c r="F158" s="488"/>
      <c r="G158" s="488"/>
    </row>
    <row r="159" spans="1:7" s="623" customFormat="1" ht="12.75">
      <c r="A159" s="622"/>
      <c r="B159" s="488"/>
      <c r="C159" s="488"/>
      <c r="D159" s="488"/>
      <c r="E159" s="488"/>
      <c r="F159" s="488"/>
      <c r="G159" s="488"/>
    </row>
    <row r="160" spans="1:7" s="623" customFormat="1" ht="12.75">
      <c r="A160" s="622"/>
      <c r="B160" s="488"/>
      <c r="C160" s="488"/>
      <c r="D160" s="488"/>
      <c r="E160" s="488"/>
      <c r="F160" s="488"/>
      <c r="G160" s="488"/>
    </row>
    <row r="161" spans="1:7" s="623" customFormat="1" ht="12.75">
      <c r="A161" s="622"/>
      <c r="B161" s="488"/>
      <c r="C161" s="488"/>
      <c r="D161" s="488"/>
      <c r="E161" s="488"/>
      <c r="F161" s="488"/>
      <c r="G161" s="488"/>
    </row>
    <row r="162" spans="1:7" s="623" customFormat="1" ht="12.75">
      <c r="A162" s="622"/>
      <c r="B162" s="488"/>
      <c r="C162" s="488"/>
      <c r="D162" s="488"/>
      <c r="E162" s="488"/>
      <c r="F162" s="488"/>
      <c r="G162" s="488"/>
    </row>
    <row r="163" spans="1:7" s="623" customFormat="1" ht="12.75">
      <c r="A163" s="622"/>
      <c r="B163" s="488"/>
      <c r="C163" s="488"/>
      <c r="D163" s="488"/>
      <c r="E163" s="488"/>
      <c r="F163" s="488"/>
      <c r="G163" s="488"/>
    </row>
    <row r="164" spans="1:7" s="623" customFormat="1" ht="12.75">
      <c r="A164" s="622"/>
      <c r="B164" s="488"/>
      <c r="C164" s="488"/>
      <c r="D164" s="488"/>
      <c r="E164" s="488"/>
      <c r="F164" s="488"/>
      <c r="G164" s="488"/>
    </row>
    <row r="165" spans="1:7" s="623" customFormat="1" ht="12.75">
      <c r="A165" s="622"/>
      <c r="B165" s="488"/>
      <c r="C165" s="488"/>
      <c r="D165" s="488"/>
      <c r="E165" s="488"/>
      <c r="F165" s="488"/>
      <c r="G165" s="488"/>
    </row>
    <row r="166" spans="1:7" s="623" customFormat="1" ht="12.75">
      <c r="A166" s="622"/>
      <c r="B166" s="488"/>
      <c r="C166" s="488"/>
      <c r="D166" s="488"/>
      <c r="E166" s="488"/>
      <c r="F166" s="488"/>
      <c r="G166" s="488"/>
    </row>
    <row r="167" spans="1:7" s="623" customFormat="1" ht="12.75">
      <c r="A167" s="622"/>
      <c r="B167" s="488"/>
      <c r="C167" s="488"/>
      <c r="D167" s="488"/>
      <c r="E167" s="488"/>
      <c r="F167" s="488"/>
      <c r="G167" s="488"/>
    </row>
    <row r="168" spans="1:7" s="623" customFormat="1" ht="12.75">
      <c r="A168" s="622"/>
      <c r="B168" s="488"/>
      <c r="C168" s="488"/>
      <c r="D168" s="488"/>
      <c r="E168" s="488"/>
      <c r="F168" s="488"/>
      <c r="G168" s="488"/>
    </row>
    <row r="169" spans="1:7" s="623" customFormat="1" ht="12.75">
      <c r="A169" s="622"/>
      <c r="B169" s="488"/>
      <c r="C169" s="488"/>
      <c r="D169" s="488"/>
      <c r="E169" s="488"/>
      <c r="F169" s="488"/>
      <c r="G169" s="488"/>
    </row>
    <row r="170" spans="1:7" s="623" customFormat="1" ht="12.75">
      <c r="A170" s="622"/>
      <c r="B170" s="488"/>
      <c r="C170" s="488"/>
      <c r="D170" s="488"/>
      <c r="E170" s="488"/>
      <c r="F170" s="488"/>
      <c r="G170" s="488"/>
    </row>
    <row r="171" spans="1:7" s="623" customFormat="1" ht="12.75">
      <c r="A171" s="622"/>
      <c r="B171" s="488"/>
      <c r="C171" s="488"/>
      <c r="D171" s="488"/>
      <c r="E171" s="488"/>
      <c r="F171" s="488"/>
      <c r="G171" s="488"/>
    </row>
    <row r="172" spans="1:7" s="623" customFormat="1" ht="12.75">
      <c r="A172" s="622"/>
      <c r="B172" s="488"/>
      <c r="C172" s="488"/>
      <c r="D172" s="488"/>
      <c r="E172" s="488"/>
      <c r="F172" s="488"/>
      <c r="G172" s="488"/>
    </row>
    <row r="173" spans="1:7" s="623" customFormat="1" ht="12.75">
      <c r="A173" s="622"/>
      <c r="B173" s="488"/>
      <c r="C173" s="488"/>
      <c r="D173" s="488"/>
      <c r="E173" s="488"/>
      <c r="F173" s="488"/>
      <c r="G173" s="488"/>
    </row>
    <row r="174" spans="1:7" s="623" customFormat="1" ht="12.75">
      <c r="A174" s="622"/>
      <c r="B174" s="488"/>
      <c r="C174" s="488"/>
      <c r="D174" s="488"/>
      <c r="E174" s="488"/>
      <c r="F174" s="488"/>
      <c r="G174" s="488"/>
    </row>
    <row r="175" spans="1:7" s="623" customFormat="1" ht="12.75">
      <c r="A175" s="622"/>
      <c r="B175" s="488"/>
      <c r="C175" s="488"/>
      <c r="D175" s="488"/>
      <c r="E175" s="488"/>
      <c r="F175" s="488"/>
      <c r="G175" s="488"/>
    </row>
    <row r="176" spans="1:7" s="623" customFormat="1" ht="12.75">
      <c r="A176" s="622"/>
      <c r="B176" s="488"/>
      <c r="C176" s="488"/>
      <c r="D176" s="488"/>
      <c r="E176" s="488"/>
      <c r="F176" s="488"/>
      <c r="G176" s="488"/>
    </row>
    <row r="177" spans="1:7" s="623" customFormat="1" ht="12.75">
      <c r="A177" s="622"/>
      <c r="B177" s="488"/>
      <c r="C177" s="488"/>
      <c r="D177" s="488"/>
      <c r="E177" s="488"/>
      <c r="F177" s="488"/>
      <c r="G177" s="488"/>
    </row>
    <row r="178" spans="1:7" s="623" customFormat="1" ht="12.75">
      <c r="A178" s="622"/>
      <c r="B178" s="488"/>
      <c r="C178" s="488"/>
      <c r="D178" s="488"/>
      <c r="E178" s="488"/>
      <c r="F178" s="488"/>
      <c r="G178" s="488"/>
    </row>
    <row r="179" spans="1:7" s="623" customFormat="1" ht="12.75">
      <c r="A179" s="622"/>
      <c r="B179" s="488"/>
      <c r="C179" s="488"/>
      <c r="D179" s="488"/>
      <c r="E179" s="488"/>
      <c r="F179" s="488"/>
      <c r="G179" s="488"/>
    </row>
    <row r="180" spans="1:7" s="623" customFormat="1" ht="12.75">
      <c r="A180" s="622"/>
      <c r="B180" s="488"/>
      <c r="C180" s="488"/>
      <c r="D180" s="488"/>
      <c r="E180" s="488"/>
      <c r="F180" s="488"/>
      <c r="G180" s="488"/>
    </row>
    <row r="181" spans="1:7" s="623" customFormat="1" ht="12.75">
      <c r="A181" s="622"/>
      <c r="B181" s="488"/>
      <c r="C181" s="488"/>
      <c r="D181" s="488"/>
      <c r="E181" s="488"/>
      <c r="F181" s="488"/>
      <c r="G181" s="488"/>
    </row>
    <row r="182" spans="1:7" s="623" customFormat="1" ht="12.75">
      <c r="A182" s="622"/>
      <c r="B182" s="488"/>
      <c r="C182" s="488"/>
      <c r="D182" s="488"/>
      <c r="E182" s="488"/>
      <c r="F182" s="488"/>
      <c r="G182" s="488"/>
    </row>
    <row r="183" spans="1:7" s="623" customFormat="1" ht="12.75">
      <c r="A183" s="622"/>
      <c r="B183" s="488"/>
      <c r="C183" s="488"/>
      <c r="D183" s="488"/>
      <c r="E183" s="488"/>
      <c r="F183" s="488"/>
      <c r="G183" s="488"/>
    </row>
    <row r="184" spans="1:7" s="623" customFormat="1" ht="12.75">
      <c r="A184" s="622"/>
      <c r="B184" s="488"/>
      <c r="C184" s="488"/>
      <c r="D184" s="488"/>
      <c r="E184" s="488"/>
      <c r="F184" s="488"/>
      <c r="G184" s="488"/>
    </row>
    <row r="185" spans="1:7" s="623" customFormat="1" ht="12.75">
      <c r="A185" s="622"/>
      <c r="B185" s="488"/>
      <c r="C185" s="488"/>
      <c r="D185" s="488"/>
      <c r="E185" s="488"/>
      <c r="F185" s="488"/>
      <c r="G185" s="488"/>
    </row>
    <row r="186" spans="1:7" s="623" customFormat="1" ht="12.75">
      <c r="A186" s="622"/>
      <c r="B186" s="488"/>
      <c r="C186" s="488"/>
      <c r="D186" s="488"/>
      <c r="E186" s="488"/>
      <c r="F186" s="488"/>
      <c r="G186" s="488"/>
    </row>
    <row r="187" spans="1:7" s="623" customFormat="1" ht="12.75">
      <c r="A187" s="622"/>
      <c r="B187" s="488"/>
      <c r="C187" s="488"/>
      <c r="D187" s="488"/>
      <c r="E187" s="488"/>
      <c r="F187" s="488"/>
      <c r="G187" s="488"/>
    </row>
    <row r="188" spans="1:7" s="623" customFormat="1" ht="12.75">
      <c r="A188" s="622"/>
      <c r="B188" s="488"/>
      <c r="C188" s="488"/>
      <c r="D188" s="488"/>
      <c r="E188" s="488"/>
      <c r="F188" s="488"/>
      <c r="G188" s="488"/>
    </row>
    <row r="189" spans="1:7" s="623" customFormat="1" ht="12.75">
      <c r="A189" s="622"/>
      <c r="B189" s="488"/>
      <c r="C189" s="488"/>
      <c r="D189" s="488"/>
      <c r="E189" s="488"/>
      <c r="F189" s="488"/>
      <c r="G189" s="488"/>
    </row>
    <row r="190" spans="1:7" s="623" customFormat="1" ht="12.75">
      <c r="A190" s="622"/>
      <c r="B190" s="488"/>
      <c r="C190" s="488"/>
      <c r="D190" s="488"/>
      <c r="E190" s="488"/>
      <c r="F190" s="488"/>
      <c r="G190" s="488"/>
    </row>
    <row r="191" spans="1:7" s="623" customFormat="1" ht="12.75">
      <c r="A191" s="622"/>
      <c r="B191" s="488"/>
      <c r="C191" s="488"/>
      <c r="D191" s="488"/>
      <c r="E191" s="488"/>
      <c r="F191" s="488"/>
      <c r="G191" s="488"/>
    </row>
    <row r="192" spans="1:7" s="623" customFormat="1" ht="12.75">
      <c r="A192" s="622"/>
      <c r="B192" s="488"/>
      <c r="C192" s="488"/>
      <c r="D192" s="488"/>
      <c r="E192" s="488"/>
      <c r="F192" s="488"/>
      <c r="G192" s="488"/>
    </row>
    <row r="193" spans="1:7" s="623" customFormat="1" ht="12.75">
      <c r="A193" s="622"/>
      <c r="B193" s="488"/>
      <c r="C193" s="488"/>
      <c r="D193" s="488"/>
      <c r="E193" s="488"/>
      <c r="F193" s="488"/>
      <c r="G193" s="488"/>
    </row>
    <row r="194" spans="1:7" s="623" customFormat="1" ht="12.75">
      <c r="A194" s="622"/>
      <c r="B194" s="488"/>
      <c r="C194" s="488"/>
      <c r="D194" s="488"/>
      <c r="E194" s="488"/>
      <c r="F194" s="488"/>
      <c r="G194" s="488"/>
    </row>
    <row r="195" spans="1:7" s="623" customFormat="1" ht="12.75">
      <c r="A195" s="622"/>
      <c r="B195" s="488"/>
      <c r="C195" s="488"/>
      <c r="D195" s="488"/>
      <c r="E195" s="488"/>
      <c r="F195" s="488"/>
      <c r="G195" s="488"/>
    </row>
    <row r="196" spans="1:7" s="623" customFormat="1" ht="12.75">
      <c r="A196" s="622"/>
      <c r="B196" s="488"/>
      <c r="C196" s="488"/>
      <c r="D196" s="488"/>
      <c r="E196" s="488"/>
      <c r="F196" s="488"/>
      <c r="G196" s="488"/>
    </row>
    <row r="197" spans="1:7" s="623" customFormat="1" ht="12.75">
      <c r="A197" s="622"/>
      <c r="B197" s="488"/>
      <c r="C197" s="488"/>
      <c r="D197" s="488"/>
      <c r="E197" s="488"/>
      <c r="F197" s="488"/>
      <c r="G197" s="488"/>
    </row>
    <row r="198" spans="1:7" s="623" customFormat="1" ht="12.75">
      <c r="A198" s="622"/>
      <c r="B198" s="488"/>
      <c r="C198" s="488"/>
      <c r="D198" s="488"/>
      <c r="E198" s="488"/>
      <c r="F198" s="488"/>
      <c r="G198" s="488"/>
    </row>
    <row r="199" spans="1:7" s="623" customFormat="1" ht="12.75">
      <c r="A199" s="622"/>
      <c r="B199" s="488"/>
      <c r="C199" s="488"/>
      <c r="D199" s="488"/>
      <c r="E199" s="488"/>
      <c r="F199" s="488"/>
      <c r="G199" s="488"/>
    </row>
    <row r="200" spans="1:7" s="623" customFormat="1" ht="12.75">
      <c r="A200" s="622"/>
      <c r="B200" s="488"/>
      <c r="C200" s="488"/>
      <c r="D200" s="488"/>
      <c r="E200" s="488"/>
      <c r="F200" s="488"/>
      <c r="G200" s="488"/>
    </row>
    <row r="201" spans="1:7" s="623" customFormat="1" ht="12.75">
      <c r="A201" s="622"/>
      <c r="B201" s="488"/>
      <c r="C201" s="488"/>
      <c r="D201" s="488"/>
      <c r="E201" s="488"/>
      <c r="F201" s="488"/>
      <c r="G201" s="488"/>
    </row>
    <row r="202" spans="1:7" s="623" customFormat="1" ht="12.75">
      <c r="A202" s="622"/>
      <c r="B202" s="488"/>
      <c r="C202" s="488"/>
      <c r="D202" s="488"/>
      <c r="E202" s="488"/>
      <c r="F202" s="488"/>
      <c r="G202" s="488"/>
    </row>
    <row r="203" spans="1:7" s="623" customFormat="1" ht="12.75">
      <c r="A203" s="622"/>
      <c r="B203" s="488"/>
      <c r="C203" s="488"/>
      <c r="D203" s="488"/>
      <c r="E203" s="488"/>
      <c r="F203" s="488"/>
      <c r="G203" s="488"/>
    </row>
    <row r="204" spans="1:7" s="623" customFormat="1" ht="12.75">
      <c r="A204" s="622"/>
      <c r="B204" s="488"/>
      <c r="C204" s="488"/>
      <c r="D204" s="488"/>
      <c r="E204" s="488"/>
      <c r="F204" s="488"/>
      <c r="G204" s="488"/>
    </row>
    <row r="205" spans="1:7" s="623" customFormat="1" ht="12.75">
      <c r="A205" s="622"/>
      <c r="B205" s="488"/>
      <c r="C205" s="488"/>
      <c r="D205" s="488"/>
      <c r="E205" s="488"/>
      <c r="F205" s="488"/>
      <c r="G205" s="488"/>
    </row>
    <row r="206" spans="1:7" s="623" customFormat="1" ht="12.75">
      <c r="A206" s="622"/>
      <c r="B206" s="488"/>
      <c r="C206" s="488"/>
      <c r="D206" s="488"/>
      <c r="E206" s="488"/>
      <c r="F206" s="488"/>
      <c r="G206" s="488"/>
    </row>
    <row r="207" spans="1:7" s="623" customFormat="1" ht="12.75">
      <c r="A207" s="622"/>
      <c r="B207" s="488"/>
      <c r="C207" s="488"/>
      <c r="D207" s="488"/>
      <c r="E207" s="488"/>
      <c r="F207" s="488"/>
      <c r="G207" s="488"/>
    </row>
    <row r="208" spans="1:7" s="623" customFormat="1" ht="12.75">
      <c r="A208" s="622"/>
      <c r="B208" s="488"/>
      <c r="C208" s="488"/>
      <c r="D208" s="488"/>
      <c r="E208" s="488"/>
      <c r="F208" s="488"/>
      <c r="G208" s="488"/>
    </row>
    <row r="209" spans="1:7" s="623" customFormat="1" ht="12.75">
      <c r="A209" s="622"/>
      <c r="B209" s="488"/>
      <c r="C209" s="488"/>
      <c r="D209" s="488"/>
      <c r="E209" s="488"/>
      <c r="F209" s="488"/>
      <c r="G209" s="488"/>
    </row>
    <row r="210" spans="1:7" s="623" customFormat="1" ht="12.75">
      <c r="A210" s="622"/>
      <c r="B210" s="488"/>
      <c r="C210" s="488"/>
      <c r="D210" s="488"/>
      <c r="E210" s="488"/>
      <c r="F210" s="488"/>
      <c r="G210" s="488"/>
    </row>
    <row r="211" spans="1:7" s="623" customFormat="1" ht="12.75">
      <c r="A211" s="622"/>
      <c r="B211" s="488"/>
      <c r="C211" s="488"/>
      <c r="D211" s="488"/>
      <c r="E211" s="488"/>
      <c r="F211" s="488"/>
      <c r="G211" s="488"/>
    </row>
    <row r="212" spans="1:7" s="623" customFormat="1" ht="12.75">
      <c r="A212" s="622"/>
      <c r="B212" s="488"/>
      <c r="C212" s="488"/>
      <c r="D212" s="488"/>
      <c r="E212" s="488"/>
      <c r="F212" s="488"/>
      <c r="G212" s="488"/>
    </row>
    <row r="213" spans="1:7" s="623" customFormat="1" ht="12.75">
      <c r="A213" s="622"/>
      <c r="B213" s="488"/>
      <c r="C213" s="488"/>
      <c r="D213" s="488"/>
      <c r="E213" s="488"/>
      <c r="F213" s="488"/>
      <c r="G213" s="488"/>
    </row>
    <row r="214" spans="1:7" s="623" customFormat="1" ht="12.75">
      <c r="A214" s="622"/>
      <c r="B214" s="488"/>
      <c r="C214" s="488"/>
      <c r="D214" s="488"/>
      <c r="E214" s="488"/>
      <c r="F214" s="488"/>
      <c r="G214" s="488"/>
    </row>
    <row r="215" spans="1:7" s="623" customFormat="1" ht="12.75">
      <c r="A215" s="622"/>
      <c r="B215" s="488"/>
      <c r="C215" s="488"/>
      <c r="D215" s="488"/>
      <c r="E215" s="488"/>
      <c r="F215" s="488"/>
      <c r="G215" s="488"/>
    </row>
    <row r="216" spans="1:7" s="623" customFormat="1" ht="12.75">
      <c r="A216" s="622"/>
      <c r="B216" s="488"/>
      <c r="C216" s="488"/>
      <c r="D216" s="488"/>
      <c r="E216" s="488"/>
      <c r="F216" s="488"/>
      <c r="G216" s="488"/>
    </row>
    <row r="217" spans="1:7" s="623" customFormat="1" ht="12.75">
      <c r="A217" s="622"/>
      <c r="B217" s="488"/>
      <c r="C217" s="488"/>
      <c r="D217" s="488"/>
      <c r="E217" s="488"/>
      <c r="F217" s="488"/>
      <c r="G217" s="488"/>
    </row>
    <row r="218" spans="1:7" s="623" customFormat="1" ht="12.75">
      <c r="A218" s="622"/>
      <c r="B218" s="488"/>
      <c r="C218" s="488"/>
      <c r="D218" s="488"/>
      <c r="E218" s="488"/>
      <c r="F218" s="488"/>
      <c r="G218" s="488"/>
    </row>
    <row r="219" spans="1:7" s="623" customFormat="1" ht="12.75">
      <c r="A219" s="622"/>
      <c r="B219" s="488"/>
      <c r="C219" s="488"/>
      <c r="D219" s="488"/>
      <c r="E219" s="488"/>
      <c r="F219" s="488"/>
      <c r="G219" s="488"/>
    </row>
    <row r="220" spans="1:7" s="623" customFormat="1" ht="12.75">
      <c r="A220" s="622"/>
      <c r="B220" s="488"/>
      <c r="C220" s="488"/>
      <c r="D220" s="488"/>
      <c r="E220" s="488"/>
      <c r="F220" s="488"/>
      <c r="G220" s="488"/>
    </row>
    <row r="221" spans="1:7" s="623" customFormat="1" ht="12.75">
      <c r="A221" s="622"/>
      <c r="B221" s="488"/>
      <c r="C221" s="488"/>
      <c r="D221" s="488"/>
      <c r="E221" s="488"/>
      <c r="F221" s="488"/>
      <c r="G221" s="488"/>
    </row>
    <row r="222" spans="1:7" s="623" customFormat="1" ht="12.75">
      <c r="A222" s="622"/>
      <c r="B222" s="488"/>
      <c r="C222" s="488"/>
      <c r="D222" s="488"/>
      <c r="E222" s="488"/>
      <c r="F222" s="488"/>
      <c r="G222" s="488"/>
    </row>
    <row r="223" spans="1:7" s="623" customFormat="1" ht="12.75">
      <c r="A223" s="622"/>
      <c r="B223" s="488"/>
      <c r="C223" s="488"/>
      <c r="D223" s="488"/>
      <c r="E223" s="488"/>
      <c r="F223" s="488"/>
      <c r="G223" s="488"/>
    </row>
    <row r="224" spans="1:7" s="623" customFormat="1" ht="12.75">
      <c r="A224" s="622"/>
      <c r="B224" s="488"/>
      <c r="C224" s="488"/>
      <c r="D224" s="488"/>
      <c r="E224" s="488"/>
      <c r="F224" s="488"/>
      <c r="G224" s="488"/>
    </row>
    <row r="225" spans="1:7" s="623" customFormat="1" ht="12.75">
      <c r="A225" s="622"/>
      <c r="B225" s="488"/>
      <c r="C225" s="488"/>
      <c r="D225" s="488"/>
      <c r="E225" s="488"/>
      <c r="F225" s="488"/>
      <c r="G225" s="488"/>
    </row>
    <row r="226" spans="1:7" s="623" customFormat="1" ht="12.75">
      <c r="A226" s="622"/>
      <c r="B226" s="488"/>
      <c r="C226" s="488"/>
      <c r="D226" s="488"/>
      <c r="E226" s="488"/>
      <c r="F226" s="488"/>
      <c r="G226" s="488"/>
    </row>
    <row r="227" spans="1:7" s="623" customFormat="1" ht="12.75">
      <c r="A227" s="622"/>
      <c r="B227" s="488"/>
      <c r="C227" s="488"/>
      <c r="D227" s="488"/>
      <c r="E227" s="488"/>
      <c r="F227" s="488"/>
      <c r="G227" s="488"/>
    </row>
    <row r="228" spans="1:7" s="623" customFormat="1" ht="12.75">
      <c r="A228" s="622"/>
      <c r="B228" s="488"/>
      <c r="C228" s="488"/>
      <c r="D228" s="488"/>
      <c r="E228" s="488"/>
      <c r="F228" s="488"/>
      <c r="G228" s="488"/>
    </row>
    <row r="229" spans="1:7" s="623" customFormat="1" ht="12.75">
      <c r="A229" s="622"/>
      <c r="B229" s="488"/>
      <c r="C229" s="488"/>
      <c r="D229" s="488"/>
      <c r="E229" s="488"/>
      <c r="F229" s="488"/>
      <c r="G229" s="488"/>
    </row>
    <row r="230" spans="1:7" s="623" customFormat="1" ht="12.75">
      <c r="A230" s="622"/>
      <c r="B230" s="488"/>
      <c r="C230" s="488"/>
      <c r="D230" s="488"/>
      <c r="E230" s="488"/>
      <c r="F230" s="488"/>
      <c r="G230" s="488"/>
    </row>
    <row r="231" spans="1:7" s="623" customFormat="1" ht="12.75">
      <c r="A231" s="622"/>
      <c r="B231" s="488"/>
      <c r="C231" s="488"/>
      <c r="D231" s="488"/>
      <c r="E231" s="488"/>
      <c r="F231" s="488"/>
      <c r="G231" s="488"/>
    </row>
    <row r="232" spans="1:7" s="623" customFormat="1" ht="12.75">
      <c r="A232" s="622"/>
      <c r="B232" s="488"/>
      <c r="C232" s="488"/>
      <c r="D232" s="488"/>
      <c r="E232" s="488"/>
      <c r="F232" s="488"/>
      <c r="G232" s="488"/>
    </row>
    <row r="233" spans="1:7" s="623" customFormat="1" ht="12.75">
      <c r="A233" s="622"/>
      <c r="B233" s="488"/>
      <c r="C233" s="488"/>
      <c r="D233" s="488"/>
      <c r="E233" s="488"/>
      <c r="F233" s="488"/>
      <c r="G233" s="488"/>
    </row>
    <row r="234" spans="1:7" s="623" customFormat="1" ht="12.75">
      <c r="A234" s="622"/>
      <c r="B234" s="488"/>
      <c r="C234" s="488"/>
      <c r="D234" s="488"/>
      <c r="E234" s="488"/>
      <c r="F234" s="488"/>
      <c r="G234" s="488"/>
    </row>
    <row r="235" spans="1:7" s="623" customFormat="1" ht="12.75">
      <c r="A235" s="622"/>
      <c r="B235" s="488"/>
      <c r="C235" s="488"/>
      <c r="D235" s="488"/>
      <c r="E235" s="488"/>
      <c r="F235" s="488"/>
      <c r="G235" s="488"/>
    </row>
    <row r="236" spans="1:7" s="623" customFormat="1" ht="12.75">
      <c r="A236" s="622"/>
      <c r="B236" s="488"/>
      <c r="C236" s="488"/>
      <c r="D236" s="488"/>
      <c r="E236" s="488"/>
      <c r="F236" s="488"/>
      <c r="G236" s="488"/>
    </row>
    <row r="237" spans="1:7" s="623" customFormat="1" ht="12.75">
      <c r="A237" s="622"/>
      <c r="B237" s="488"/>
      <c r="C237" s="488"/>
      <c r="D237" s="488"/>
      <c r="E237" s="488"/>
      <c r="F237" s="488"/>
      <c r="G237" s="488"/>
    </row>
    <row r="238" spans="1:7" s="623" customFormat="1" ht="12.75">
      <c r="A238" s="622"/>
      <c r="B238" s="488"/>
      <c r="C238" s="488"/>
      <c r="D238" s="488"/>
      <c r="E238" s="488"/>
      <c r="F238" s="488"/>
      <c r="G238" s="488"/>
    </row>
    <row r="239" spans="1:7" s="623" customFormat="1" ht="12.75">
      <c r="A239" s="622"/>
      <c r="B239" s="488"/>
      <c r="C239" s="488"/>
      <c r="D239" s="488"/>
      <c r="E239" s="488"/>
      <c r="F239" s="488"/>
      <c r="G239" s="488"/>
    </row>
    <row r="240" spans="1:7" s="623" customFormat="1" ht="12.75">
      <c r="A240" s="622"/>
      <c r="B240" s="488"/>
      <c r="C240" s="488"/>
      <c r="D240" s="488"/>
      <c r="E240" s="488"/>
      <c r="F240" s="488"/>
      <c r="G240" s="488"/>
    </row>
    <row r="241" spans="1:7" s="623" customFormat="1" ht="12.75">
      <c r="A241" s="622"/>
      <c r="B241" s="488"/>
      <c r="C241" s="488"/>
      <c r="D241" s="488"/>
      <c r="E241" s="488"/>
      <c r="F241" s="488"/>
      <c r="G241" s="488"/>
    </row>
    <row r="242" spans="1:7" s="623" customFormat="1" ht="12.75">
      <c r="A242" s="622"/>
      <c r="B242" s="488"/>
      <c r="C242" s="488"/>
      <c r="D242" s="488"/>
      <c r="E242" s="488"/>
      <c r="F242" s="488"/>
      <c r="G242" s="488"/>
    </row>
    <row r="243" spans="1:7" s="623" customFormat="1" ht="12.75">
      <c r="A243" s="622"/>
      <c r="B243" s="488"/>
      <c r="C243" s="488"/>
      <c r="D243" s="488"/>
      <c r="E243" s="488"/>
      <c r="F243" s="488"/>
      <c r="G243" s="488"/>
    </row>
    <row r="244" spans="1:7" s="623" customFormat="1" ht="12.75">
      <c r="A244" s="622"/>
      <c r="B244" s="488"/>
      <c r="C244" s="488"/>
      <c r="D244" s="488"/>
      <c r="E244" s="488"/>
      <c r="F244" s="488"/>
      <c r="G244" s="488"/>
    </row>
    <row r="245" spans="1:7" s="623" customFormat="1" ht="12.75">
      <c r="A245" s="622"/>
      <c r="B245" s="488"/>
      <c r="C245" s="488"/>
      <c r="D245" s="488"/>
      <c r="E245" s="488"/>
      <c r="F245" s="488"/>
      <c r="G245" s="488"/>
    </row>
    <row r="246" spans="1:7" s="623" customFormat="1" ht="12.75">
      <c r="A246" s="622"/>
      <c r="B246" s="488"/>
      <c r="C246" s="488"/>
      <c r="D246" s="488"/>
      <c r="E246" s="488"/>
      <c r="F246" s="488"/>
      <c r="G246" s="488"/>
    </row>
    <row r="247" spans="1:7" s="623" customFormat="1" ht="12.75">
      <c r="A247" s="622"/>
      <c r="B247" s="488"/>
      <c r="C247" s="488"/>
      <c r="D247" s="488"/>
      <c r="E247" s="488"/>
      <c r="F247" s="488"/>
      <c r="G247" s="488"/>
    </row>
    <row r="248" spans="1:7" s="623" customFormat="1" ht="12.75">
      <c r="A248" s="622"/>
      <c r="B248" s="488"/>
      <c r="C248" s="488"/>
      <c r="D248" s="488"/>
      <c r="E248" s="488"/>
      <c r="F248" s="488"/>
      <c r="G248" s="488"/>
    </row>
    <row r="249" spans="1:7" s="623" customFormat="1" ht="12.75">
      <c r="A249" s="622"/>
      <c r="B249" s="488"/>
      <c r="C249" s="488"/>
      <c r="D249" s="488"/>
      <c r="E249" s="488"/>
      <c r="F249" s="488"/>
      <c r="G249" s="488"/>
    </row>
    <row r="250" spans="1:7" s="623" customFormat="1" ht="12.75">
      <c r="A250" s="622"/>
      <c r="B250" s="488"/>
      <c r="C250" s="488"/>
      <c r="D250" s="488"/>
      <c r="E250" s="488"/>
      <c r="F250" s="488"/>
      <c r="G250" s="488"/>
    </row>
    <row r="251" spans="1:7" s="623" customFormat="1" ht="12.75">
      <c r="A251" s="622"/>
      <c r="B251" s="488"/>
      <c r="C251" s="488"/>
      <c r="D251" s="488"/>
      <c r="E251" s="488"/>
      <c r="F251" s="488"/>
      <c r="G251" s="488"/>
    </row>
    <row r="252" spans="1:7" s="623" customFormat="1" ht="12.75">
      <c r="A252" s="622"/>
      <c r="B252" s="488"/>
      <c r="C252" s="488"/>
      <c r="D252" s="488"/>
      <c r="E252" s="488"/>
      <c r="F252" s="488"/>
      <c r="G252" s="488"/>
    </row>
    <row r="253" spans="1:7" s="623" customFormat="1" ht="12.75">
      <c r="A253" s="622"/>
      <c r="B253" s="488"/>
      <c r="C253" s="488"/>
      <c r="D253" s="488"/>
      <c r="E253" s="488"/>
      <c r="F253" s="488"/>
      <c r="G253" s="488"/>
    </row>
    <row r="254" spans="1:7" s="623" customFormat="1" ht="12.75">
      <c r="A254" s="622"/>
      <c r="B254" s="488"/>
      <c r="C254" s="488"/>
      <c r="D254" s="488"/>
      <c r="E254" s="488"/>
      <c r="F254" s="488"/>
      <c r="G254" s="488"/>
    </row>
    <row r="255" spans="1:7" s="623" customFormat="1" ht="12.75">
      <c r="A255" s="622"/>
      <c r="B255" s="488"/>
      <c r="C255" s="488"/>
      <c r="D255" s="488"/>
      <c r="E255" s="456"/>
      <c r="F255" s="456"/>
      <c r="G255" s="488"/>
    </row>
  </sheetData>
  <sheetProtection password="EA98" sheet="1" formatColumns="0" selectLockedCells="1"/>
  <mergeCells count="55">
    <mergeCell ref="B86:F86"/>
    <mergeCell ref="B89:F89"/>
    <mergeCell ref="B92:F92"/>
    <mergeCell ref="B54:F54"/>
    <mergeCell ref="F22:G22"/>
    <mergeCell ref="F25:G25"/>
    <mergeCell ref="B24:C24"/>
    <mergeCell ref="D24:E24"/>
    <mergeCell ref="D22:E22"/>
    <mergeCell ref="B23:C23"/>
    <mergeCell ref="E11:G11"/>
    <mergeCell ref="E12:G12"/>
    <mergeCell ref="D15:G15"/>
    <mergeCell ref="B22:C22"/>
    <mergeCell ref="B108:G108"/>
    <mergeCell ref="A85:F85"/>
    <mergeCell ref="B83:F83"/>
    <mergeCell ref="B57:F57"/>
    <mergeCell ref="B80:F80"/>
    <mergeCell ref="B106:G106"/>
    <mergeCell ref="C2:F2"/>
    <mergeCell ref="E8:G8"/>
    <mergeCell ref="E9:G9"/>
    <mergeCell ref="E10:G10"/>
    <mergeCell ref="C3:F3"/>
    <mergeCell ref="B6:G6"/>
    <mergeCell ref="B19:C19"/>
    <mergeCell ref="G17:G18"/>
    <mergeCell ref="B16:G16"/>
    <mergeCell ref="D19:E19"/>
    <mergeCell ref="F19:G19"/>
    <mergeCell ref="B26:C26"/>
    <mergeCell ref="D26:E26"/>
    <mergeCell ref="B25:C25"/>
    <mergeCell ref="G20:G21"/>
    <mergeCell ref="F26:G26"/>
    <mergeCell ref="B101:G105"/>
    <mergeCell ref="B100:G100"/>
    <mergeCell ref="B30:G30"/>
    <mergeCell ref="B33:C33"/>
    <mergeCell ref="B34:C34"/>
    <mergeCell ref="B39:E39"/>
    <mergeCell ref="B51:F51"/>
    <mergeCell ref="B98:F98"/>
    <mergeCell ref="B45:E45"/>
    <mergeCell ref="B95:F95"/>
    <mergeCell ref="D23:E23"/>
    <mergeCell ref="B43:E43"/>
    <mergeCell ref="B36:G36"/>
    <mergeCell ref="B77:F77"/>
    <mergeCell ref="B48:F48"/>
    <mergeCell ref="B41:E41"/>
    <mergeCell ref="F23:G23"/>
    <mergeCell ref="D25:E25"/>
    <mergeCell ref="F24:G24"/>
  </mergeCells>
  <dataValidations count="1">
    <dataValidation type="whole" allowBlank="1" showInputMessage="1" showErrorMessage="1" errorTitle="ATTENZIONE" error="INSERIRE SOLO VALORI NUMERICI INTERI" sqref="G48 G51 G86 G98 G80 G77 F60:F64 G57 G54 G95 G89 G92 G83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3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34"/>
  <dimension ref="A1:T31"/>
  <sheetViews>
    <sheetView zoomScalePageLayoutView="0" workbookViewId="0" topLeftCell="A1">
      <selection activeCell="D15" sqref="D15"/>
    </sheetView>
  </sheetViews>
  <sheetFormatPr defaultColWidth="9.33203125" defaultRowHeight="10.5"/>
  <cols>
    <col min="1" max="1" width="6.16015625" style="747" bestFit="1" customWidth="1"/>
    <col min="2" max="2" width="13" style="743" customWidth="1"/>
    <col min="3" max="3" width="29.83203125" style="743" customWidth="1"/>
    <col min="4" max="11" width="13.5" style="743" customWidth="1"/>
    <col min="12" max="19" width="7.83203125" style="743" hidden="1" customWidth="1"/>
    <col min="20" max="20" width="0" style="743" hidden="1" customWidth="1"/>
    <col min="21" max="21" width="8" style="743" customWidth="1"/>
    <col min="22" max="22" width="10.5" style="743" customWidth="1"/>
    <col min="23" max="16384" width="9.33203125" style="743" customWidth="1"/>
  </cols>
  <sheetData>
    <row r="1" spans="1:19" ht="23.25" customHeight="1">
      <c r="A1" s="747" t="str">
        <f>SI_1!A2</f>
        <v>RALN</v>
      </c>
      <c r="B1" s="1406" t="str">
        <f>'t1'!A1</f>
        <v>COMPARTO REGIONI ED AUTONOMIE LOCALI</v>
      </c>
      <c r="C1" s="1406"/>
      <c r="D1" s="1406"/>
      <c r="E1" s="1406"/>
      <c r="F1" s="1406"/>
      <c r="G1" s="1406"/>
      <c r="H1" s="1406"/>
      <c r="I1" s="1406"/>
      <c r="J1" s="1406"/>
      <c r="K1" s="1406"/>
      <c r="L1" s="1406"/>
      <c r="M1" s="1406"/>
      <c r="N1" s="1406"/>
      <c r="O1" s="1406"/>
      <c r="P1" s="1406"/>
      <c r="Q1" s="1406"/>
      <c r="R1" s="1406"/>
      <c r="S1" s="1406"/>
    </row>
    <row r="2" spans="4:17" ht="10.5">
      <c r="D2" s="744"/>
      <c r="E2" s="744"/>
      <c r="F2" s="744"/>
      <c r="G2" s="744"/>
      <c r="H2" s="744"/>
      <c r="I2" s="744"/>
      <c r="J2" s="744"/>
      <c r="K2" s="744"/>
      <c r="L2" s="744"/>
      <c r="M2" s="744"/>
      <c r="N2" s="744"/>
      <c r="O2" s="744"/>
      <c r="P2" s="744"/>
      <c r="Q2" s="744"/>
    </row>
    <row r="3" spans="4:18" ht="23.25" customHeight="1">
      <c r="D3" s="745"/>
      <c r="E3" s="745"/>
      <c r="F3" s="745"/>
      <c r="G3" s="745"/>
      <c r="H3" s="745"/>
      <c r="I3" s="745"/>
      <c r="J3" s="772"/>
      <c r="K3" s="772"/>
      <c r="M3" s="746"/>
      <c r="N3" s="746"/>
      <c r="O3" s="746"/>
      <c r="P3" s="746"/>
      <c r="Q3" s="746"/>
      <c r="R3" s="746"/>
    </row>
    <row r="4" ht="12">
      <c r="D4" s="748"/>
    </row>
    <row r="6" spans="2:19" ht="15" customHeight="1" hidden="1" thickTop="1">
      <c r="B6" s="1398"/>
      <c r="C6" s="1404"/>
      <c r="D6" s="1407"/>
      <c r="E6" s="1408"/>
      <c r="F6" s="1408"/>
      <c r="G6" s="1408"/>
      <c r="H6" s="1408"/>
      <c r="I6" s="1408"/>
      <c r="J6" s="1408"/>
      <c r="K6" s="1409"/>
      <c r="L6" s="1407"/>
      <c r="M6" s="1408"/>
      <c r="N6" s="1408"/>
      <c r="O6" s="1408"/>
      <c r="P6" s="1408"/>
      <c r="Q6" s="1408"/>
      <c r="R6" s="1408"/>
      <c r="S6" s="1409"/>
    </row>
    <row r="7" spans="2:19" ht="13.5" customHeight="1" hidden="1">
      <c r="B7" s="1398"/>
      <c r="C7" s="1404"/>
      <c r="D7" s="1410"/>
      <c r="E7" s="1398"/>
      <c r="F7" s="1398"/>
      <c r="G7" s="1398"/>
      <c r="H7" s="1398"/>
      <c r="I7" s="1398"/>
      <c r="J7" s="1398"/>
      <c r="K7" s="1411"/>
      <c r="L7" s="1410"/>
      <c r="M7" s="1398"/>
      <c r="N7" s="1398"/>
      <c r="O7" s="1398"/>
      <c r="P7" s="1398"/>
      <c r="Q7" s="1398"/>
      <c r="R7" s="1398"/>
      <c r="S7" s="1411"/>
    </row>
    <row r="8" spans="2:19" ht="60" customHeight="1">
      <c r="B8" s="1398" t="s">
        <v>577</v>
      </c>
      <c r="C8" s="1404"/>
      <c r="D8" s="1405" t="s">
        <v>458</v>
      </c>
      <c r="E8" s="1399"/>
      <c r="F8" s="1399" t="s">
        <v>459</v>
      </c>
      <c r="G8" s="1399"/>
      <c r="H8" s="1399" t="s">
        <v>460</v>
      </c>
      <c r="I8" s="1399"/>
      <c r="J8" s="1399" t="s">
        <v>461</v>
      </c>
      <c r="K8" s="1400"/>
      <c r="L8" s="1402"/>
      <c r="M8" s="1399"/>
      <c r="N8" s="1399"/>
      <c r="O8" s="1399"/>
      <c r="P8" s="1399"/>
      <c r="Q8" s="1399"/>
      <c r="R8" s="1399"/>
      <c r="S8" s="1400"/>
    </row>
    <row r="9" spans="2:19" ht="12">
      <c r="B9" s="1399" t="s">
        <v>462</v>
      </c>
      <c r="C9" s="1401"/>
      <c r="D9" s="755" t="s">
        <v>93</v>
      </c>
      <c r="E9" s="754" t="s">
        <v>94</v>
      </c>
      <c r="F9" s="753" t="s">
        <v>93</v>
      </c>
      <c r="G9" s="754" t="s">
        <v>94</v>
      </c>
      <c r="H9" s="753" t="s">
        <v>93</v>
      </c>
      <c r="I9" s="754" t="s">
        <v>94</v>
      </c>
      <c r="J9" s="753" t="s">
        <v>93</v>
      </c>
      <c r="K9" s="756" t="s">
        <v>94</v>
      </c>
      <c r="L9" s="755"/>
      <c r="M9" s="754"/>
      <c r="N9" s="753"/>
      <c r="O9" s="754"/>
      <c r="P9" s="753"/>
      <c r="Q9" s="754"/>
      <c r="R9" s="753"/>
      <c r="S9" s="756"/>
    </row>
    <row r="10" spans="1:19" ht="30.75" customHeight="1">
      <c r="A10" s="747" t="s">
        <v>463</v>
      </c>
      <c r="B10" s="1399" t="s">
        <v>464</v>
      </c>
      <c r="C10" s="1401"/>
      <c r="D10" s="1032"/>
      <c r="E10" s="1033"/>
      <c r="F10" s="1033"/>
      <c r="G10" s="1033"/>
      <c r="H10" s="1034"/>
      <c r="I10" s="1034"/>
      <c r="J10" s="1034"/>
      <c r="K10" s="1036"/>
      <c r="L10" s="1035"/>
      <c r="M10" s="1034"/>
      <c r="N10" s="1034"/>
      <c r="O10" s="1034"/>
      <c r="P10" s="1034"/>
      <c r="Q10" s="1034"/>
      <c r="R10" s="1034"/>
      <c r="S10" s="1036"/>
    </row>
    <row r="11" spans="2:19" ht="7.5" customHeight="1">
      <c r="B11" s="1403"/>
      <c r="C11" s="1403"/>
      <c r="D11" s="1403"/>
      <c r="E11" s="1403"/>
      <c r="F11" s="1403"/>
      <c r="G11" s="1403"/>
      <c r="H11" s="1403"/>
      <c r="I11" s="1403"/>
      <c r="J11" s="1403"/>
      <c r="K11" s="1403"/>
      <c r="L11" s="1403"/>
      <c r="M11" s="1403"/>
      <c r="N11" s="1403"/>
      <c r="O11" s="1403"/>
      <c r="P11" s="1403"/>
      <c r="Q11" s="1403"/>
      <c r="R11" s="1403"/>
      <c r="S11" s="1403"/>
    </row>
    <row r="12" spans="1:19" ht="15" customHeight="1">
      <c r="A12" s="747" t="str">
        <f>'t2'!B6</f>
        <v>CD</v>
      </c>
      <c r="B12" s="1398" t="s">
        <v>465</v>
      </c>
      <c r="C12" s="757" t="str">
        <f>'t2'!A6</f>
        <v>Categoria D</v>
      </c>
      <c r="D12" s="1037"/>
      <c r="E12" s="1034"/>
      <c r="F12" s="1034"/>
      <c r="G12" s="1034"/>
      <c r="H12" s="1034"/>
      <c r="I12" s="1034"/>
      <c r="J12" s="1034">
        <v>1</v>
      </c>
      <c r="K12" s="1036">
        <v>3</v>
      </c>
      <c r="L12" s="1035"/>
      <c r="M12" s="1034"/>
      <c r="N12" s="1034"/>
      <c r="O12" s="1034"/>
      <c r="P12" s="1034"/>
      <c r="Q12" s="1034"/>
      <c r="R12" s="1034"/>
      <c r="S12" s="1036"/>
    </row>
    <row r="13" spans="1:19" ht="12">
      <c r="A13" s="747" t="str">
        <f>'t2'!B7</f>
        <v>CC</v>
      </c>
      <c r="B13" s="1398"/>
      <c r="C13" s="757" t="str">
        <f>'t2'!A7</f>
        <v>Categoria C</v>
      </c>
      <c r="D13" s="1037"/>
      <c r="E13" s="1034"/>
      <c r="F13" s="1034"/>
      <c r="G13" s="1034"/>
      <c r="H13" s="1034">
        <v>40</v>
      </c>
      <c r="I13" s="1034">
        <v>82</v>
      </c>
      <c r="J13" s="1034">
        <v>46</v>
      </c>
      <c r="K13" s="1036">
        <v>52</v>
      </c>
      <c r="L13" s="1035"/>
      <c r="M13" s="1034"/>
      <c r="N13" s="1034"/>
      <c r="O13" s="1034"/>
      <c r="P13" s="1034"/>
      <c r="Q13" s="1034"/>
      <c r="R13" s="1034"/>
      <c r="S13" s="1036"/>
    </row>
    <row r="14" spans="1:19" ht="12">
      <c r="A14" s="747" t="str">
        <f>'t2'!B8</f>
        <v>CB</v>
      </c>
      <c r="B14" s="1398"/>
      <c r="C14" s="757" t="str">
        <f>'t2'!A8</f>
        <v>Categoria B</v>
      </c>
      <c r="D14" s="1037"/>
      <c r="E14" s="1034"/>
      <c r="F14" s="1034"/>
      <c r="G14" s="1034"/>
      <c r="H14" s="1034">
        <v>16</v>
      </c>
      <c r="I14" s="1034">
        <v>20</v>
      </c>
      <c r="J14" s="1034">
        <v>43</v>
      </c>
      <c r="K14" s="1036">
        <v>27</v>
      </c>
      <c r="L14" s="1035"/>
      <c r="M14" s="1034"/>
      <c r="N14" s="1034"/>
      <c r="O14" s="1034"/>
      <c r="P14" s="1034"/>
      <c r="Q14" s="1034"/>
      <c r="R14" s="1034"/>
      <c r="S14" s="1036"/>
    </row>
    <row r="15" spans="1:19" ht="12">
      <c r="A15" s="747" t="str">
        <f>'t2'!B9</f>
        <v>CA</v>
      </c>
      <c r="B15" s="1398"/>
      <c r="C15" s="757" t="str">
        <f>'t2'!A9</f>
        <v>Categoria A</v>
      </c>
      <c r="D15" s="1037"/>
      <c r="E15" s="1034"/>
      <c r="F15" s="1034"/>
      <c r="G15" s="1034"/>
      <c r="H15" s="1034">
        <v>1</v>
      </c>
      <c r="I15" s="1034">
        <v>1</v>
      </c>
      <c r="J15" s="1034"/>
      <c r="K15" s="1036"/>
      <c r="L15" s="1035"/>
      <c r="M15" s="1034"/>
      <c r="N15" s="1034"/>
      <c r="O15" s="1034"/>
      <c r="P15" s="1034"/>
      <c r="Q15" s="1034"/>
      <c r="R15" s="1034"/>
      <c r="S15" s="1036"/>
    </row>
    <row r="16" spans="1:19" ht="12.75" thickBot="1">
      <c r="A16" s="747" t="str">
        <f>'t2'!B10</f>
        <v>PC</v>
      </c>
      <c r="B16" s="1398"/>
      <c r="C16" s="759" t="str">
        <f>'t2'!A10</f>
        <v>Personale contrattista</v>
      </c>
      <c r="D16" s="1038"/>
      <c r="E16" s="1039"/>
      <c r="F16" s="1039"/>
      <c r="G16" s="1039"/>
      <c r="H16" s="1039"/>
      <c r="I16" s="1039"/>
      <c r="J16" s="1039"/>
      <c r="K16" s="1041"/>
      <c r="L16" s="1040"/>
      <c r="M16" s="1039"/>
      <c r="N16" s="1039"/>
      <c r="O16" s="1039"/>
      <c r="P16" s="1039"/>
      <c r="Q16" s="1039"/>
      <c r="R16" s="1039"/>
      <c r="S16" s="1041"/>
    </row>
    <row r="17" spans="1:20" s="751" customFormat="1" ht="13.5">
      <c r="A17" s="749"/>
      <c r="B17" s="1398"/>
      <c r="C17" s="758" t="s">
        <v>466</v>
      </c>
      <c r="D17" s="1042">
        <f aca="true" t="shared" si="0" ref="D17:K17">SUM(D12:D16)</f>
        <v>0</v>
      </c>
      <c r="E17" s="1043">
        <f t="shared" si="0"/>
        <v>0</v>
      </c>
      <c r="F17" s="1043">
        <f t="shared" si="0"/>
        <v>0</v>
      </c>
      <c r="G17" s="1043">
        <f t="shared" si="0"/>
        <v>0</v>
      </c>
      <c r="H17" s="1043">
        <f t="shared" si="0"/>
        <v>57</v>
      </c>
      <c r="I17" s="1043">
        <f t="shared" si="0"/>
        <v>103</v>
      </c>
      <c r="J17" s="1043">
        <f t="shared" si="0"/>
        <v>90</v>
      </c>
      <c r="K17" s="1044">
        <f t="shared" si="0"/>
        <v>82</v>
      </c>
      <c r="L17" s="1042"/>
      <c r="M17" s="1043"/>
      <c r="N17" s="1043"/>
      <c r="O17" s="1043"/>
      <c r="P17" s="1043"/>
      <c r="Q17" s="1043"/>
      <c r="R17" s="1043"/>
      <c r="S17" s="1044"/>
      <c r="T17" s="750">
        <f>SUM(D17:S17,D10:S10)</f>
        <v>332</v>
      </c>
    </row>
    <row r="25" ht="16.5" customHeight="1"/>
    <row r="26" spans="6:7" ht="12.75">
      <c r="F26" s="752"/>
      <c r="G26" s="752"/>
    </row>
    <row r="27" spans="6:7" ht="12.75">
      <c r="F27" s="752"/>
      <c r="G27" s="752"/>
    </row>
    <row r="29" spans="6:7" ht="12.75">
      <c r="F29" s="752"/>
      <c r="G29" s="752"/>
    </row>
    <row r="31" spans="6:7" ht="12.75">
      <c r="F31" s="752"/>
      <c r="G31" s="752"/>
    </row>
  </sheetData>
  <sheetProtection password="EA98" sheet="1" formatColumns="0" selectLockedCells="1"/>
  <mergeCells count="17">
    <mergeCell ref="D8:E8"/>
    <mergeCell ref="F8:G8"/>
    <mergeCell ref="H8:I8"/>
    <mergeCell ref="B1:S1"/>
    <mergeCell ref="B6:C7"/>
    <mergeCell ref="D6:K7"/>
    <mergeCell ref="L6:S7"/>
    <mergeCell ref="B12:B17"/>
    <mergeCell ref="P8:Q8"/>
    <mergeCell ref="R8:S8"/>
    <mergeCell ref="B9:C9"/>
    <mergeCell ref="B10:C10"/>
    <mergeCell ref="J8:K8"/>
    <mergeCell ref="L8:M8"/>
    <mergeCell ref="N8:O8"/>
    <mergeCell ref="B11:S11"/>
    <mergeCell ref="B8:C8"/>
  </mergeCells>
  <dataValidations count="1">
    <dataValidation type="whole" allowBlank="1" showInputMessage="1" showErrorMessage="1" errorTitle="ERRORE" error="INSERIRE SOLO NUMERI INTERI COMPRESI TRA 0 E 9999999" sqref="D10:S10 D12:S16">
      <formula1>0</formula1>
      <formula2>9999999</formula2>
    </dataValidation>
  </dataValidations>
  <printOptions/>
  <pageMargins left="0.39" right="0.4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0"/>
  <dimension ref="A1:X54"/>
  <sheetViews>
    <sheetView showGridLines="0" zoomScalePageLayoutView="0" workbookViewId="0" topLeftCell="A1">
      <pane xSplit="2" ySplit="5" topLeftCell="M18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6" sqref="C6"/>
    </sheetView>
  </sheetViews>
  <sheetFormatPr defaultColWidth="10.66015625" defaultRowHeight="10.5"/>
  <cols>
    <col min="1" max="1" width="41" style="96" customWidth="1"/>
    <col min="2" max="2" width="20.16015625" style="106" customWidth="1"/>
    <col min="3" max="16" width="11.5" style="96" customWidth="1"/>
    <col min="17" max="18" width="11.5" style="0" customWidth="1"/>
    <col min="19" max="20" width="9.16015625" style="96" customWidth="1"/>
    <col min="21" max="21" width="6.66015625" style="96" customWidth="1"/>
    <col min="22" max="25" width="10.83203125" style="96" customWidth="1"/>
    <col min="26" max="16384" width="10.66015625" style="96" customWidth="1"/>
  </cols>
  <sheetData>
    <row r="1" spans="1:19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3"/>
      <c r="P1" s="370"/>
      <c r="Q1"/>
      <c r="R1"/>
      <c r="S1"/>
    </row>
    <row r="2" spans="1:19" s="5" customFormat="1" ht="30" customHeight="1" thickBot="1">
      <c r="A2" s="369"/>
      <c r="B2" s="2"/>
      <c r="C2" s="3"/>
      <c r="D2" s="3"/>
      <c r="E2" s="3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/>
      <c r="R2"/>
      <c r="S2"/>
    </row>
    <row r="3" spans="1:20" ht="18.75" customHeight="1" thickBot="1">
      <c r="A3" s="97"/>
      <c r="B3" s="98"/>
      <c r="C3" s="153" t="s">
        <v>145</v>
      </c>
      <c r="D3" s="154"/>
      <c r="E3" s="154"/>
      <c r="F3" s="155"/>
      <c r="G3" s="154"/>
      <c r="H3" s="154"/>
      <c r="I3" s="154"/>
      <c r="J3" s="154"/>
      <c r="K3" s="154"/>
      <c r="L3" s="154"/>
      <c r="M3" s="1415" t="s">
        <v>146</v>
      </c>
      <c r="N3" s="1416"/>
      <c r="O3" s="1416"/>
      <c r="P3" s="1416"/>
      <c r="Q3" s="1416"/>
      <c r="R3" s="1417"/>
      <c r="S3"/>
      <c r="T3"/>
    </row>
    <row r="4" spans="1:20" ht="21.75" customHeight="1" thickTop="1">
      <c r="A4" s="332" t="s">
        <v>143</v>
      </c>
      <c r="B4" s="333" t="s">
        <v>74</v>
      </c>
      <c r="C4" s="156" t="s">
        <v>201</v>
      </c>
      <c r="D4" s="157"/>
      <c r="E4" s="1412" t="s">
        <v>104</v>
      </c>
      <c r="F4" s="1413"/>
      <c r="G4" s="1414" t="s">
        <v>52</v>
      </c>
      <c r="H4" s="1414"/>
      <c r="I4" s="1414" t="s">
        <v>658</v>
      </c>
      <c r="J4" s="1414"/>
      <c r="K4" s="1414" t="s">
        <v>659</v>
      </c>
      <c r="L4" s="1418"/>
      <c r="M4" s="156" t="s">
        <v>201</v>
      </c>
      <c r="N4" s="158"/>
      <c r="O4" s="159" t="s">
        <v>104</v>
      </c>
      <c r="P4" s="158"/>
      <c r="Q4" s="159" t="s">
        <v>52</v>
      </c>
      <c r="R4" s="158"/>
      <c r="S4"/>
      <c r="T4"/>
    </row>
    <row r="5" spans="1:20" ht="12" thickBot="1">
      <c r="A5" s="102"/>
      <c r="B5" s="334"/>
      <c r="C5" s="160" t="s">
        <v>76</v>
      </c>
      <c r="D5" s="161" t="s">
        <v>77</v>
      </c>
      <c r="E5" s="162" t="s">
        <v>76</v>
      </c>
      <c r="F5" s="161" t="s">
        <v>77</v>
      </c>
      <c r="G5" s="162" t="s">
        <v>76</v>
      </c>
      <c r="H5" s="161" t="s">
        <v>77</v>
      </c>
      <c r="I5" s="162" t="s">
        <v>76</v>
      </c>
      <c r="J5" s="161" t="s">
        <v>77</v>
      </c>
      <c r="K5" s="162" t="s">
        <v>76</v>
      </c>
      <c r="L5" s="161" t="s">
        <v>77</v>
      </c>
      <c r="M5" s="163" t="s">
        <v>76</v>
      </c>
      <c r="N5" s="164" t="s">
        <v>77</v>
      </c>
      <c r="O5" s="165" t="s">
        <v>76</v>
      </c>
      <c r="P5" s="164" t="s">
        <v>77</v>
      </c>
      <c r="Q5" s="165" t="s">
        <v>76</v>
      </c>
      <c r="R5" s="164" t="s">
        <v>77</v>
      </c>
      <c r="S5"/>
      <c r="T5"/>
    </row>
    <row r="6" spans="1:20" ht="12.75" customHeight="1" thickTop="1">
      <c r="A6" s="25" t="str">
        <f>'t1'!A6</f>
        <v>SEGRETARIO A</v>
      </c>
      <c r="B6" s="335" t="str">
        <f>'t1'!B6</f>
        <v>0D0102</v>
      </c>
      <c r="C6" s="251"/>
      <c r="D6" s="252"/>
      <c r="E6" s="253"/>
      <c r="F6" s="656"/>
      <c r="G6" s="658"/>
      <c r="H6" s="252"/>
      <c r="I6" s="658"/>
      <c r="J6" s="252"/>
      <c r="K6" s="658"/>
      <c r="L6" s="252"/>
      <c r="M6" s="254"/>
      <c r="N6" s="255"/>
      <c r="O6" s="256"/>
      <c r="P6" s="1045"/>
      <c r="Q6" s="1046"/>
      <c r="R6" s="762"/>
      <c r="S6"/>
      <c r="T6"/>
    </row>
    <row r="7" spans="1:20" ht="12.75" customHeight="1">
      <c r="A7" s="24" t="str">
        <f>'t1'!A7</f>
        <v>SEGRETARIO B</v>
      </c>
      <c r="B7" s="336" t="str">
        <f>'t1'!B7</f>
        <v>0D0103</v>
      </c>
      <c r="C7" s="251"/>
      <c r="D7" s="252"/>
      <c r="E7" s="253"/>
      <c r="F7" s="656"/>
      <c r="G7" s="261"/>
      <c r="H7" s="252"/>
      <c r="I7" s="261"/>
      <c r="J7" s="252"/>
      <c r="K7" s="261"/>
      <c r="L7" s="252"/>
      <c r="M7" s="254"/>
      <c r="N7" s="255"/>
      <c r="O7" s="256"/>
      <c r="P7" s="1047"/>
      <c r="Q7" s="1048"/>
      <c r="R7" s="763"/>
      <c r="S7"/>
      <c r="T7"/>
    </row>
    <row r="8" spans="1:20" ht="12.75" customHeight="1">
      <c r="A8" s="24" t="str">
        <f>'t1'!A8</f>
        <v>SEGRETARIO C</v>
      </c>
      <c r="B8" s="336" t="str">
        <f>'t1'!B8</f>
        <v>0D0485</v>
      </c>
      <c r="C8" s="251"/>
      <c r="D8" s="252"/>
      <c r="E8" s="253"/>
      <c r="F8" s="656"/>
      <c r="G8" s="261"/>
      <c r="H8" s="252"/>
      <c r="I8" s="261"/>
      <c r="J8" s="252"/>
      <c r="K8" s="261"/>
      <c r="L8" s="252"/>
      <c r="M8" s="254"/>
      <c r="N8" s="255"/>
      <c r="O8" s="256"/>
      <c r="P8" s="1047"/>
      <c r="Q8" s="1048"/>
      <c r="R8" s="763"/>
      <c r="S8"/>
      <c r="T8"/>
    </row>
    <row r="9" spans="1:20" ht="12.75" customHeight="1">
      <c r="A9" s="24" t="str">
        <f>'t1'!A9</f>
        <v>SEGRETARIO GENERALE CCIAA</v>
      </c>
      <c r="B9" s="336" t="str">
        <f>'t1'!B9</f>
        <v>0D0104</v>
      </c>
      <c r="C9" s="251"/>
      <c r="D9" s="252"/>
      <c r="E9" s="253"/>
      <c r="F9" s="656"/>
      <c r="G9" s="261"/>
      <c r="H9" s="252"/>
      <c r="I9" s="261"/>
      <c r="J9" s="252"/>
      <c r="K9" s="261"/>
      <c r="L9" s="252"/>
      <c r="M9" s="254"/>
      <c r="N9" s="255"/>
      <c r="O9" s="256"/>
      <c r="P9" s="1047"/>
      <c r="Q9" s="1048"/>
      <c r="R9" s="763"/>
      <c r="S9"/>
      <c r="T9"/>
    </row>
    <row r="10" spans="1:20" ht="12.75" customHeight="1">
      <c r="A10" s="24" t="str">
        <f>'t1'!A10</f>
        <v>DIRETTORE  GENERALE</v>
      </c>
      <c r="B10" s="336" t="str">
        <f>'t1'!B10</f>
        <v>0D0097</v>
      </c>
      <c r="C10" s="251"/>
      <c r="D10" s="252"/>
      <c r="E10" s="253"/>
      <c r="F10" s="656"/>
      <c r="G10" s="261"/>
      <c r="H10" s="252"/>
      <c r="I10" s="261"/>
      <c r="J10" s="252"/>
      <c r="K10" s="261"/>
      <c r="L10" s="252"/>
      <c r="M10" s="254"/>
      <c r="N10" s="255"/>
      <c r="O10" s="256"/>
      <c r="P10" s="1047"/>
      <c r="Q10" s="1048"/>
      <c r="R10" s="763"/>
      <c r="S10"/>
      <c r="T10"/>
    </row>
    <row r="11" spans="1:20" ht="12.75" customHeight="1">
      <c r="A11" s="24" t="str">
        <f>'t1'!A11</f>
        <v>DIRIGENTE FUORI D.O.</v>
      </c>
      <c r="B11" s="336" t="str">
        <f>'t1'!B11</f>
        <v>0D0098</v>
      </c>
      <c r="C11" s="251"/>
      <c r="D11" s="252"/>
      <c r="E11" s="253"/>
      <c r="F11" s="656"/>
      <c r="G11" s="261"/>
      <c r="H11" s="252"/>
      <c r="I11" s="261"/>
      <c r="J11" s="252"/>
      <c r="K11" s="261"/>
      <c r="L11" s="252"/>
      <c r="M11" s="254"/>
      <c r="N11" s="255"/>
      <c r="O11" s="256"/>
      <c r="P11" s="1047"/>
      <c r="Q11" s="1048"/>
      <c r="R11" s="763"/>
      <c r="S11"/>
      <c r="T11"/>
    </row>
    <row r="12" spans="1:20" ht="12.75" customHeight="1">
      <c r="A12" s="24" t="str">
        <f>'t1'!A12</f>
        <v>ALTE SPECIALIZZ. FUORI D.O.</v>
      </c>
      <c r="B12" s="336" t="str">
        <f>'t1'!B12</f>
        <v>0D0095</v>
      </c>
      <c r="C12" s="251"/>
      <c r="D12" s="252"/>
      <c r="E12" s="253"/>
      <c r="F12" s="656"/>
      <c r="G12" s="261"/>
      <c r="H12" s="252"/>
      <c r="I12" s="261"/>
      <c r="J12" s="252"/>
      <c r="K12" s="261"/>
      <c r="L12" s="252"/>
      <c r="M12" s="254"/>
      <c r="N12" s="255"/>
      <c r="O12" s="256"/>
      <c r="P12" s="1047"/>
      <c r="Q12" s="1048"/>
      <c r="R12" s="763"/>
      <c r="S12"/>
      <c r="T12"/>
    </row>
    <row r="13" spans="1:20" ht="12.75" customHeight="1">
      <c r="A13" s="24" t="str">
        <f>'t1'!A13</f>
        <v>QUALIFICA DIRIGENZIALE TEMPO INDET.</v>
      </c>
      <c r="B13" s="336" t="str">
        <f>'t1'!B13</f>
        <v>0D0100</v>
      </c>
      <c r="C13" s="251"/>
      <c r="D13" s="252"/>
      <c r="E13" s="253"/>
      <c r="F13" s="656"/>
      <c r="G13" s="261"/>
      <c r="H13" s="252"/>
      <c r="I13" s="261"/>
      <c r="J13" s="252"/>
      <c r="K13" s="261"/>
      <c r="L13" s="252"/>
      <c r="M13" s="254"/>
      <c r="N13" s="255"/>
      <c r="O13" s="256"/>
      <c r="P13" s="1047"/>
      <c r="Q13" s="1048"/>
      <c r="R13" s="763"/>
      <c r="S13"/>
      <c r="T13"/>
    </row>
    <row r="14" spans="1:20" ht="12.75" customHeight="1">
      <c r="A14" s="24" t="str">
        <f>'t1'!A14</f>
        <v>QUALIFICA DIRIGENZIALE TEMPO DETER.</v>
      </c>
      <c r="B14" s="336" t="str">
        <f>'t1'!B14</f>
        <v>0D0099</v>
      </c>
      <c r="C14" s="251"/>
      <c r="D14" s="252"/>
      <c r="E14" s="253"/>
      <c r="F14" s="656"/>
      <c r="G14" s="261"/>
      <c r="H14" s="252"/>
      <c r="I14" s="261"/>
      <c r="J14" s="252"/>
      <c r="K14" s="261"/>
      <c r="L14" s="252"/>
      <c r="M14" s="254"/>
      <c r="N14" s="255"/>
      <c r="O14" s="256"/>
      <c r="P14" s="1047"/>
      <c r="Q14" s="1048"/>
      <c r="R14" s="763"/>
      <c r="S14"/>
      <c r="T14"/>
    </row>
    <row r="15" spans="1:20" ht="12.75" customHeight="1">
      <c r="A15" s="24" t="str">
        <f>'t1'!A15</f>
        <v>POSIZ. ECON. D6 - PROFILI ACCESSO D3</v>
      </c>
      <c r="B15" s="336" t="str">
        <f>'t1'!B15</f>
        <v>0D6A00</v>
      </c>
      <c r="C15" s="251"/>
      <c r="D15" s="252"/>
      <c r="E15" s="253"/>
      <c r="F15" s="656"/>
      <c r="G15" s="261"/>
      <c r="H15" s="252"/>
      <c r="I15" s="261"/>
      <c r="J15" s="252"/>
      <c r="K15" s="261"/>
      <c r="L15" s="252"/>
      <c r="M15" s="254"/>
      <c r="N15" s="255"/>
      <c r="O15" s="256"/>
      <c r="P15" s="1047"/>
      <c r="Q15" s="1048"/>
      <c r="R15" s="763"/>
      <c r="S15"/>
      <c r="T15"/>
    </row>
    <row r="16" spans="1:20" ht="12.75" customHeight="1">
      <c r="A16" s="24" t="str">
        <f>'t1'!A16</f>
        <v>POSIZ. ECON. D6 - PROFILO ACCESSO D1</v>
      </c>
      <c r="B16" s="336" t="str">
        <f>'t1'!B16</f>
        <v>0D6000</v>
      </c>
      <c r="C16" s="251"/>
      <c r="D16" s="252"/>
      <c r="E16" s="253"/>
      <c r="F16" s="656"/>
      <c r="G16" s="261"/>
      <c r="H16" s="252"/>
      <c r="I16" s="261"/>
      <c r="J16" s="252"/>
      <c r="K16" s="261"/>
      <c r="L16" s="252"/>
      <c r="M16" s="254"/>
      <c r="N16" s="255"/>
      <c r="O16" s="256"/>
      <c r="P16" s="1047"/>
      <c r="Q16" s="1048"/>
      <c r="R16" s="763"/>
      <c r="S16"/>
      <c r="T16"/>
    </row>
    <row r="17" spans="1:20" ht="12.75" customHeight="1">
      <c r="A17" s="24" t="str">
        <f>'t1'!A17</f>
        <v>POSIZ.ECON. D5 PROFILI ACCESSO D3</v>
      </c>
      <c r="B17" s="336" t="str">
        <f>'t1'!B17</f>
        <v>052486</v>
      </c>
      <c r="C17" s="251"/>
      <c r="D17" s="252"/>
      <c r="E17" s="253"/>
      <c r="F17" s="656"/>
      <c r="G17" s="261"/>
      <c r="H17" s="252"/>
      <c r="I17" s="261"/>
      <c r="J17" s="252"/>
      <c r="K17" s="261"/>
      <c r="L17" s="252"/>
      <c r="M17" s="254"/>
      <c r="N17" s="255"/>
      <c r="O17" s="256"/>
      <c r="P17" s="1047"/>
      <c r="Q17" s="1048"/>
      <c r="R17" s="763"/>
      <c r="S17"/>
      <c r="T17"/>
    </row>
    <row r="18" spans="1:20" ht="12.75" customHeight="1">
      <c r="A18" s="24" t="str">
        <f>'t1'!A18</f>
        <v>POSIZ.ECON. D5 PROFILI ACCESSO D1</v>
      </c>
      <c r="B18" s="336" t="str">
        <f>'t1'!B18</f>
        <v>052487</v>
      </c>
      <c r="C18" s="251"/>
      <c r="D18" s="252"/>
      <c r="E18" s="253"/>
      <c r="F18" s="656"/>
      <c r="G18" s="261"/>
      <c r="H18" s="252"/>
      <c r="I18" s="261"/>
      <c r="J18" s="252"/>
      <c r="K18" s="261"/>
      <c r="L18" s="252"/>
      <c r="M18" s="254"/>
      <c r="N18" s="255"/>
      <c r="O18" s="256"/>
      <c r="P18" s="1047"/>
      <c r="Q18" s="1048"/>
      <c r="R18" s="763"/>
      <c r="S18"/>
      <c r="T18"/>
    </row>
    <row r="19" spans="1:20" ht="12.75" customHeight="1">
      <c r="A19" s="24" t="str">
        <f>'t1'!A19</f>
        <v>POSIZ.ECON. D4 PROFILI ACCESSO D3</v>
      </c>
      <c r="B19" s="336" t="str">
        <f>'t1'!B19</f>
        <v>051488</v>
      </c>
      <c r="C19" s="251"/>
      <c r="D19" s="252"/>
      <c r="E19" s="253"/>
      <c r="F19" s="656"/>
      <c r="G19" s="261"/>
      <c r="H19" s="252"/>
      <c r="I19" s="261"/>
      <c r="J19" s="252"/>
      <c r="K19" s="261"/>
      <c r="L19" s="252"/>
      <c r="M19" s="254"/>
      <c r="N19" s="255"/>
      <c r="O19" s="256"/>
      <c r="P19" s="1047"/>
      <c r="Q19" s="1048"/>
      <c r="R19" s="763"/>
      <c r="S19"/>
      <c r="T19"/>
    </row>
    <row r="20" spans="1:20" ht="12.75" customHeight="1">
      <c r="A20" s="24" t="str">
        <f>'t1'!A20</f>
        <v>POSIZ.ECON. D4 PROFILI ACCESSO D1</v>
      </c>
      <c r="B20" s="336" t="str">
        <f>'t1'!B20</f>
        <v>051489</v>
      </c>
      <c r="C20" s="251"/>
      <c r="D20" s="252"/>
      <c r="E20" s="253"/>
      <c r="F20" s="656"/>
      <c r="G20" s="261"/>
      <c r="H20" s="252"/>
      <c r="I20" s="261"/>
      <c r="J20" s="252"/>
      <c r="K20" s="261"/>
      <c r="L20" s="252"/>
      <c r="M20" s="254"/>
      <c r="N20" s="255"/>
      <c r="O20" s="256"/>
      <c r="P20" s="1047"/>
      <c r="Q20" s="1048"/>
      <c r="R20" s="763"/>
      <c r="S20"/>
      <c r="T20"/>
    </row>
    <row r="21" spans="1:20" ht="12.75" customHeight="1">
      <c r="A21" s="24" t="str">
        <f>'t1'!A21</f>
        <v>POSIZIONE ECONOMICA DI ACCESSO D3</v>
      </c>
      <c r="B21" s="336" t="str">
        <f>'t1'!B21</f>
        <v>058000</v>
      </c>
      <c r="C21" s="251"/>
      <c r="D21" s="252"/>
      <c r="E21" s="253"/>
      <c r="F21" s="656"/>
      <c r="G21" s="261"/>
      <c r="H21" s="252"/>
      <c r="I21" s="261"/>
      <c r="J21" s="252"/>
      <c r="K21" s="261"/>
      <c r="L21" s="252"/>
      <c r="M21" s="254"/>
      <c r="N21" s="255"/>
      <c r="O21" s="256"/>
      <c r="P21" s="1047"/>
      <c r="Q21" s="1048"/>
      <c r="R21" s="763"/>
      <c r="S21"/>
      <c r="T21"/>
    </row>
    <row r="22" spans="1:20" ht="12.75" customHeight="1">
      <c r="A22" s="24" t="str">
        <f>'t1'!A22</f>
        <v>POSIZIONE ECONOMICA D3</v>
      </c>
      <c r="B22" s="336" t="str">
        <f>'t1'!B22</f>
        <v>050000</v>
      </c>
      <c r="C22" s="251"/>
      <c r="D22" s="252"/>
      <c r="E22" s="253"/>
      <c r="F22" s="656"/>
      <c r="G22" s="261"/>
      <c r="H22" s="252"/>
      <c r="I22" s="261"/>
      <c r="J22" s="252"/>
      <c r="K22" s="261"/>
      <c r="L22" s="252"/>
      <c r="M22" s="254"/>
      <c r="N22" s="255"/>
      <c r="O22" s="256"/>
      <c r="P22" s="1047"/>
      <c r="Q22" s="1048"/>
      <c r="R22" s="763"/>
      <c r="S22"/>
      <c r="T22"/>
    </row>
    <row r="23" spans="1:20" ht="12.75" customHeight="1">
      <c r="A23" s="24" t="str">
        <f>'t1'!A23</f>
        <v>POSIZIONE ECONOMICA D2</v>
      </c>
      <c r="B23" s="336" t="str">
        <f>'t1'!B23</f>
        <v>049000</v>
      </c>
      <c r="C23" s="251"/>
      <c r="D23" s="252"/>
      <c r="E23" s="253"/>
      <c r="F23" s="656"/>
      <c r="G23" s="261"/>
      <c r="H23" s="252"/>
      <c r="I23" s="261"/>
      <c r="J23" s="252"/>
      <c r="K23" s="261"/>
      <c r="L23" s="252"/>
      <c r="M23" s="254"/>
      <c r="N23" s="255"/>
      <c r="O23" s="256"/>
      <c r="P23" s="1047"/>
      <c r="Q23" s="1048"/>
      <c r="R23" s="763"/>
      <c r="S23"/>
      <c r="T23"/>
    </row>
    <row r="24" spans="1:20" ht="12.75" customHeight="1">
      <c r="A24" s="24" t="str">
        <f>'t1'!A24</f>
        <v>POSIZIONE ECONOMICA DI ACCESSO D1</v>
      </c>
      <c r="B24" s="336" t="str">
        <f>'t1'!B24</f>
        <v>057000</v>
      </c>
      <c r="C24" s="251"/>
      <c r="D24" s="252"/>
      <c r="E24" s="253"/>
      <c r="F24" s="656"/>
      <c r="G24" s="261"/>
      <c r="H24" s="252"/>
      <c r="I24" s="261"/>
      <c r="J24" s="252"/>
      <c r="K24" s="261"/>
      <c r="L24" s="252"/>
      <c r="M24" s="254"/>
      <c r="N24" s="255"/>
      <c r="O24" s="256"/>
      <c r="P24" s="1047"/>
      <c r="Q24" s="1048"/>
      <c r="R24" s="763"/>
      <c r="S24"/>
      <c r="T24"/>
    </row>
    <row r="25" spans="1:20" ht="12.75" customHeight="1">
      <c r="A25" s="24" t="str">
        <f>'t1'!A25</f>
        <v>POSIZIONE ECONOMICA C5</v>
      </c>
      <c r="B25" s="336" t="str">
        <f>'t1'!B25</f>
        <v>046000</v>
      </c>
      <c r="C25" s="251"/>
      <c r="D25" s="252"/>
      <c r="E25" s="253"/>
      <c r="F25" s="656"/>
      <c r="G25" s="261"/>
      <c r="H25" s="252"/>
      <c r="I25" s="261"/>
      <c r="J25" s="252"/>
      <c r="K25" s="261"/>
      <c r="L25" s="252"/>
      <c r="M25" s="254"/>
      <c r="N25" s="255"/>
      <c r="O25" s="256"/>
      <c r="P25" s="1047"/>
      <c r="Q25" s="1048"/>
      <c r="R25" s="763"/>
      <c r="S25"/>
      <c r="T25"/>
    </row>
    <row r="26" spans="1:20" ht="12.75" customHeight="1">
      <c r="A26" s="24" t="str">
        <f>'t1'!A26</f>
        <v>POSIZIONE ECONOMICA C4</v>
      </c>
      <c r="B26" s="336" t="str">
        <f>'t1'!B26</f>
        <v>045000</v>
      </c>
      <c r="C26" s="251"/>
      <c r="D26" s="252"/>
      <c r="E26" s="253"/>
      <c r="F26" s="656"/>
      <c r="G26" s="261"/>
      <c r="H26" s="252"/>
      <c r="I26" s="261"/>
      <c r="J26" s="252"/>
      <c r="K26" s="261"/>
      <c r="L26" s="252"/>
      <c r="M26" s="254"/>
      <c r="N26" s="255"/>
      <c r="O26" s="256"/>
      <c r="P26" s="1047"/>
      <c r="Q26" s="1048"/>
      <c r="R26" s="763"/>
      <c r="S26"/>
      <c r="T26"/>
    </row>
    <row r="27" spans="1:20" ht="12.75" customHeight="1">
      <c r="A27" s="24" t="str">
        <f>'t1'!A27</f>
        <v>POSIZIONE ECONOMICA C3</v>
      </c>
      <c r="B27" s="336" t="str">
        <f>'t1'!B27</f>
        <v>043000</v>
      </c>
      <c r="C27" s="251"/>
      <c r="D27" s="252"/>
      <c r="E27" s="253"/>
      <c r="F27" s="656"/>
      <c r="G27" s="261"/>
      <c r="H27" s="252"/>
      <c r="I27" s="261"/>
      <c r="J27" s="252"/>
      <c r="K27" s="261"/>
      <c r="L27" s="252"/>
      <c r="M27" s="254"/>
      <c r="N27" s="255"/>
      <c r="O27" s="256"/>
      <c r="P27" s="1047"/>
      <c r="Q27" s="1048"/>
      <c r="R27" s="763"/>
      <c r="S27"/>
      <c r="T27"/>
    </row>
    <row r="28" spans="1:20" ht="12.75" customHeight="1">
      <c r="A28" s="24" t="str">
        <f>'t1'!A28</f>
        <v>POSIZIONE ECONOMICA C2</v>
      </c>
      <c r="B28" s="336" t="str">
        <f>'t1'!B28</f>
        <v>042000</v>
      </c>
      <c r="C28" s="251"/>
      <c r="D28" s="252"/>
      <c r="E28" s="253"/>
      <c r="F28" s="656"/>
      <c r="G28" s="261"/>
      <c r="H28" s="252"/>
      <c r="I28" s="261"/>
      <c r="J28" s="252"/>
      <c r="K28" s="261"/>
      <c r="L28" s="252"/>
      <c r="M28" s="254"/>
      <c r="N28" s="255"/>
      <c r="O28" s="256"/>
      <c r="P28" s="1047"/>
      <c r="Q28" s="1048"/>
      <c r="R28" s="763"/>
      <c r="S28"/>
      <c r="T28"/>
    </row>
    <row r="29" spans="1:20" ht="12.75" customHeight="1">
      <c r="A29" s="24" t="str">
        <f>'t1'!A29</f>
        <v>POSIZIONE ECONOMICA DI ACCESSO C1</v>
      </c>
      <c r="B29" s="336" t="str">
        <f>'t1'!B29</f>
        <v>056000</v>
      </c>
      <c r="C29" s="251"/>
      <c r="D29" s="252"/>
      <c r="E29" s="253"/>
      <c r="F29" s="656"/>
      <c r="G29" s="261"/>
      <c r="H29" s="252"/>
      <c r="I29" s="261"/>
      <c r="J29" s="252"/>
      <c r="K29" s="261"/>
      <c r="L29" s="252"/>
      <c r="M29" s="254"/>
      <c r="N29" s="255"/>
      <c r="O29" s="256"/>
      <c r="P29" s="1047"/>
      <c r="Q29" s="1048"/>
      <c r="R29" s="763"/>
      <c r="S29"/>
      <c r="T29"/>
    </row>
    <row r="30" spans="1:20" ht="12.75" customHeight="1">
      <c r="A30" s="24" t="str">
        <f>'t1'!A30</f>
        <v>POSIZ. ECON. B7 - PROFILO ACCESSO B3</v>
      </c>
      <c r="B30" s="336" t="str">
        <f>'t1'!B30</f>
        <v>0B7A00</v>
      </c>
      <c r="C30" s="251"/>
      <c r="D30" s="252"/>
      <c r="E30" s="253"/>
      <c r="F30" s="656"/>
      <c r="G30" s="261"/>
      <c r="H30" s="252"/>
      <c r="I30" s="261"/>
      <c r="J30" s="252"/>
      <c r="K30" s="261"/>
      <c r="L30" s="252"/>
      <c r="M30" s="254"/>
      <c r="N30" s="255"/>
      <c r="O30" s="256"/>
      <c r="P30" s="1047"/>
      <c r="Q30" s="1048"/>
      <c r="R30" s="763"/>
      <c r="S30"/>
      <c r="T30"/>
    </row>
    <row r="31" spans="1:20" ht="12.75" customHeight="1">
      <c r="A31" s="24" t="str">
        <f>'t1'!A31</f>
        <v>POSIZ. ECON. B7 - PROFILO  ACCESSO B1</v>
      </c>
      <c r="B31" s="336" t="str">
        <f>'t1'!B31</f>
        <v>0B7000</v>
      </c>
      <c r="C31" s="251"/>
      <c r="D31" s="252"/>
      <c r="E31" s="253"/>
      <c r="F31" s="656"/>
      <c r="G31" s="261"/>
      <c r="H31" s="252"/>
      <c r="I31" s="261"/>
      <c r="J31" s="252"/>
      <c r="K31" s="261"/>
      <c r="L31" s="252"/>
      <c r="M31" s="254"/>
      <c r="N31" s="255"/>
      <c r="O31" s="256"/>
      <c r="P31" s="1047"/>
      <c r="Q31" s="1048"/>
      <c r="R31" s="763"/>
      <c r="S31"/>
      <c r="T31"/>
    </row>
    <row r="32" spans="1:20" ht="12.75" customHeight="1">
      <c r="A32" s="24" t="str">
        <f>'t1'!A32</f>
        <v>POSIZ.ECON. B6 PROFILI ACCESSO B3</v>
      </c>
      <c r="B32" s="336" t="str">
        <f>'t1'!B32</f>
        <v>038490</v>
      </c>
      <c r="C32" s="251"/>
      <c r="D32" s="252"/>
      <c r="E32" s="253"/>
      <c r="F32" s="656"/>
      <c r="G32" s="261"/>
      <c r="H32" s="252"/>
      <c r="I32" s="261"/>
      <c r="J32" s="252"/>
      <c r="K32" s="261"/>
      <c r="L32" s="252"/>
      <c r="M32" s="254"/>
      <c r="N32" s="255"/>
      <c r="O32" s="256"/>
      <c r="P32" s="1047"/>
      <c r="Q32" s="1048"/>
      <c r="R32" s="763"/>
      <c r="S32"/>
      <c r="T32"/>
    </row>
    <row r="33" spans="1:20" ht="12.75" customHeight="1">
      <c r="A33" s="24" t="str">
        <f>'t1'!A33</f>
        <v>POSIZ.ECON. B6 PROFILI ACCESSO B1</v>
      </c>
      <c r="B33" s="336" t="str">
        <f>'t1'!B33</f>
        <v>038491</v>
      </c>
      <c r="C33" s="251"/>
      <c r="D33" s="252"/>
      <c r="E33" s="253"/>
      <c r="F33" s="656"/>
      <c r="G33" s="261"/>
      <c r="H33" s="252"/>
      <c r="I33" s="261"/>
      <c r="J33" s="252"/>
      <c r="K33" s="261"/>
      <c r="L33" s="252"/>
      <c r="M33" s="254"/>
      <c r="N33" s="255"/>
      <c r="O33" s="256"/>
      <c r="P33" s="1047"/>
      <c r="Q33" s="1048"/>
      <c r="R33" s="763"/>
      <c r="S33"/>
      <c r="T33"/>
    </row>
    <row r="34" spans="1:20" ht="12.75" customHeight="1">
      <c r="A34" s="24" t="str">
        <f>'t1'!A34</f>
        <v>POSIZ.ECON. B5 PROFILI ACCESSO B3</v>
      </c>
      <c r="B34" s="336" t="str">
        <f>'t1'!B34</f>
        <v>037492</v>
      </c>
      <c r="C34" s="251"/>
      <c r="D34" s="252"/>
      <c r="E34" s="253"/>
      <c r="F34" s="656"/>
      <c r="G34" s="261"/>
      <c r="H34" s="252"/>
      <c r="I34" s="261"/>
      <c r="J34" s="252"/>
      <c r="K34" s="261"/>
      <c r="L34" s="252"/>
      <c r="M34" s="254"/>
      <c r="N34" s="255"/>
      <c r="O34" s="256"/>
      <c r="P34" s="1047"/>
      <c r="Q34" s="1048"/>
      <c r="R34" s="763"/>
      <c r="S34"/>
      <c r="T34"/>
    </row>
    <row r="35" spans="1:20" ht="12.75" customHeight="1">
      <c r="A35" s="24" t="str">
        <f>'t1'!A35</f>
        <v>POSIZ.ECON. B5 PROFILI ACCESSO B1</v>
      </c>
      <c r="B35" s="336" t="str">
        <f>'t1'!B35</f>
        <v>037493</v>
      </c>
      <c r="C35" s="251"/>
      <c r="D35" s="252"/>
      <c r="E35" s="253"/>
      <c r="F35" s="656"/>
      <c r="G35" s="261"/>
      <c r="H35" s="252"/>
      <c r="I35" s="261"/>
      <c r="J35" s="252"/>
      <c r="K35" s="261"/>
      <c r="L35" s="252"/>
      <c r="M35" s="254"/>
      <c r="N35" s="255"/>
      <c r="O35" s="256"/>
      <c r="P35" s="1047"/>
      <c r="Q35" s="1048"/>
      <c r="R35" s="763"/>
      <c r="S35"/>
      <c r="T35"/>
    </row>
    <row r="36" spans="1:20" ht="12.75" customHeight="1">
      <c r="A36" s="24" t="str">
        <f>'t1'!A36</f>
        <v>POSIZ.ECON. B4 PROFILI ACCESSO B3</v>
      </c>
      <c r="B36" s="336" t="str">
        <f>'t1'!B36</f>
        <v>036494</v>
      </c>
      <c r="C36" s="251"/>
      <c r="D36" s="252"/>
      <c r="E36" s="253"/>
      <c r="F36" s="656"/>
      <c r="G36" s="261"/>
      <c r="H36" s="252"/>
      <c r="I36" s="261"/>
      <c r="J36" s="252"/>
      <c r="K36" s="261"/>
      <c r="L36" s="252"/>
      <c r="M36" s="254"/>
      <c r="N36" s="255"/>
      <c r="O36" s="256"/>
      <c r="P36" s="1047"/>
      <c r="Q36" s="1048"/>
      <c r="R36" s="763"/>
      <c r="S36"/>
      <c r="T36"/>
    </row>
    <row r="37" spans="1:20" ht="12.75" customHeight="1">
      <c r="A37" s="24" t="str">
        <f>'t1'!A37</f>
        <v>POSIZ.ECON. B4 PROFILI ACCESSO B1</v>
      </c>
      <c r="B37" s="336" t="str">
        <f>'t1'!B37</f>
        <v>036495</v>
      </c>
      <c r="C37" s="251"/>
      <c r="D37" s="252"/>
      <c r="E37" s="253"/>
      <c r="F37" s="656"/>
      <c r="G37" s="261"/>
      <c r="H37" s="252"/>
      <c r="I37" s="261"/>
      <c r="J37" s="252"/>
      <c r="K37" s="261"/>
      <c r="L37" s="252"/>
      <c r="M37" s="254"/>
      <c r="N37" s="255"/>
      <c r="O37" s="256"/>
      <c r="P37" s="1047"/>
      <c r="Q37" s="1048"/>
      <c r="R37" s="763"/>
      <c r="S37"/>
      <c r="T37"/>
    </row>
    <row r="38" spans="1:20" ht="12.75" customHeight="1">
      <c r="A38" s="24" t="str">
        <f>'t1'!A38</f>
        <v>POSIZIONE ECONOMICA DI ACCESSO B3</v>
      </c>
      <c r="B38" s="336" t="str">
        <f>'t1'!B38</f>
        <v>055000</v>
      </c>
      <c r="C38" s="251"/>
      <c r="D38" s="252"/>
      <c r="E38" s="253"/>
      <c r="F38" s="656"/>
      <c r="G38" s="261"/>
      <c r="H38" s="252"/>
      <c r="I38" s="261"/>
      <c r="J38" s="252"/>
      <c r="K38" s="261"/>
      <c r="L38" s="252"/>
      <c r="M38" s="254"/>
      <c r="N38" s="255"/>
      <c r="O38" s="256"/>
      <c r="P38" s="1047"/>
      <c r="Q38" s="1048"/>
      <c r="R38" s="763"/>
      <c r="S38"/>
      <c r="T38"/>
    </row>
    <row r="39" spans="1:20" ht="12.75" customHeight="1">
      <c r="A39" s="24" t="str">
        <f>'t1'!A39</f>
        <v>POSIZIONE ECONOMICA B3</v>
      </c>
      <c r="B39" s="336" t="str">
        <f>'t1'!B39</f>
        <v>034000</v>
      </c>
      <c r="C39" s="251"/>
      <c r="D39" s="252"/>
      <c r="E39" s="253"/>
      <c r="F39" s="656"/>
      <c r="G39" s="261"/>
      <c r="H39" s="252"/>
      <c r="I39" s="261"/>
      <c r="J39" s="252"/>
      <c r="K39" s="261"/>
      <c r="L39" s="252"/>
      <c r="M39" s="254"/>
      <c r="N39" s="255"/>
      <c r="O39" s="256"/>
      <c r="P39" s="1047"/>
      <c r="Q39" s="1048"/>
      <c r="R39" s="763"/>
      <c r="S39"/>
      <c r="T39"/>
    </row>
    <row r="40" spans="1:20" ht="12.75" customHeight="1">
      <c r="A40" s="24" t="str">
        <f>'t1'!A40</f>
        <v>POSIZIONE ECONOMICA B2</v>
      </c>
      <c r="B40" s="336" t="str">
        <f>'t1'!B40</f>
        <v>032000</v>
      </c>
      <c r="C40" s="251"/>
      <c r="D40" s="252"/>
      <c r="E40" s="253"/>
      <c r="F40" s="656"/>
      <c r="G40" s="261"/>
      <c r="H40" s="252"/>
      <c r="I40" s="261"/>
      <c r="J40" s="252"/>
      <c r="K40" s="261"/>
      <c r="L40" s="252"/>
      <c r="M40" s="254"/>
      <c r="N40" s="255"/>
      <c r="O40" s="256"/>
      <c r="P40" s="1047"/>
      <c r="Q40" s="1048"/>
      <c r="R40" s="763"/>
      <c r="S40"/>
      <c r="T40"/>
    </row>
    <row r="41" spans="1:20" ht="12.75" customHeight="1">
      <c r="A41" s="24" t="str">
        <f>'t1'!A41</f>
        <v>POSIZIONE ECONOMICA DI ACCESSO B1</v>
      </c>
      <c r="B41" s="336" t="str">
        <f>'t1'!B41</f>
        <v>054000</v>
      </c>
      <c r="C41" s="251"/>
      <c r="D41" s="252"/>
      <c r="E41" s="253"/>
      <c r="F41" s="656"/>
      <c r="G41" s="261"/>
      <c r="H41" s="252"/>
      <c r="I41" s="261"/>
      <c r="J41" s="252"/>
      <c r="K41" s="261"/>
      <c r="L41" s="252"/>
      <c r="M41" s="254"/>
      <c r="N41" s="255"/>
      <c r="O41" s="256"/>
      <c r="P41" s="1047"/>
      <c r="Q41" s="1048"/>
      <c r="R41" s="763"/>
      <c r="S41"/>
      <c r="T41"/>
    </row>
    <row r="42" spans="1:20" ht="12.75" customHeight="1">
      <c r="A42" s="24" t="str">
        <f>'t1'!A42</f>
        <v>POSIZIONE ECONOMICA A5</v>
      </c>
      <c r="B42" s="336" t="str">
        <f>'t1'!B42</f>
        <v>0A5000</v>
      </c>
      <c r="C42" s="251"/>
      <c r="D42" s="252"/>
      <c r="E42" s="253"/>
      <c r="F42" s="656"/>
      <c r="G42" s="261"/>
      <c r="H42" s="252"/>
      <c r="I42" s="261"/>
      <c r="J42" s="252"/>
      <c r="K42" s="261"/>
      <c r="L42" s="252"/>
      <c r="M42" s="254"/>
      <c r="N42" s="255"/>
      <c r="O42" s="256"/>
      <c r="P42" s="1047"/>
      <c r="Q42" s="1048"/>
      <c r="R42" s="763"/>
      <c r="S42"/>
      <c r="T42"/>
    </row>
    <row r="43" spans="1:20" ht="12.75" customHeight="1">
      <c r="A43" s="24" t="str">
        <f>'t1'!A43</f>
        <v>POSIZIONE ECONOMICA A4</v>
      </c>
      <c r="B43" s="336" t="str">
        <f>'t1'!B43</f>
        <v>028000</v>
      </c>
      <c r="C43" s="251"/>
      <c r="D43" s="252"/>
      <c r="E43" s="253"/>
      <c r="F43" s="656"/>
      <c r="G43" s="261"/>
      <c r="H43" s="252"/>
      <c r="I43" s="261"/>
      <c r="J43" s="252"/>
      <c r="K43" s="261"/>
      <c r="L43" s="252"/>
      <c r="M43" s="254"/>
      <c r="N43" s="255"/>
      <c r="O43" s="256"/>
      <c r="P43" s="1047"/>
      <c r="Q43" s="1048"/>
      <c r="R43" s="763"/>
      <c r="S43"/>
      <c r="T43"/>
    </row>
    <row r="44" spans="1:20" ht="12.75" customHeight="1">
      <c r="A44" s="24" t="str">
        <f>'t1'!A44</f>
        <v>POSIZIONE ECONOMICA A3</v>
      </c>
      <c r="B44" s="336" t="str">
        <f>'t1'!B44</f>
        <v>027000</v>
      </c>
      <c r="C44" s="251"/>
      <c r="D44" s="252"/>
      <c r="E44" s="253"/>
      <c r="F44" s="656"/>
      <c r="G44" s="261"/>
      <c r="H44" s="252"/>
      <c r="I44" s="261"/>
      <c r="J44" s="252"/>
      <c r="K44" s="261"/>
      <c r="L44" s="252"/>
      <c r="M44" s="254"/>
      <c r="N44" s="255"/>
      <c r="O44" s="256"/>
      <c r="P44" s="1047"/>
      <c r="Q44" s="1048"/>
      <c r="R44" s="763"/>
      <c r="S44"/>
      <c r="T44"/>
    </row>
    <row r="45" spans="1:20" ht="12.75" customHeight="1">
      <c r="A45" s="24" t="str">
        <f>'t1'!A45</f>
        <v>POSIZIONE ECONOMICA A2</v>
      </c>
      <c r="B45" s="336" t="str">
        <f>'t1'!B45</f>
        <v>025000</v>
      </c>
      <c r="C45" s="251"/>
      <c r="D45" s="252"/>
      <c r="E45" s="253"/>
      <c r="F45" s="656"/>
      <c r="G45" s="261"/>
      <c r="H45" s="252"/>
      <c r="I45" s="261"/>
      <c r="J45" s="252"/>
      <c r="K45" s="261"/>
      <c r="L45" s="252"/>
      <c r="M45" s="254"/>
      <c r="N45" s="255"/>
      <c r="O45" s="256"/>
      <c r="P45" s="1047"/>
      <c r="Q45" s="1048"/>
      <c r="R45" s="763"/>
      <c r="S45"/>
      <c r="T45"/>
    </row>
    <row r="46" spans="1:20" ht="12.75" customHeight="1">
      <c r="A46" s="24" t="str">
        <f>'t1'!A46</f>
        <v>POSIZIONE ECONOMICA DI ACCESSO A1</v>
      </c>
      <c r="B46" s="336" t="str">
        <f>'t1'!B46</f>
        <v>053000</v>
      </c>
      <c r="C46" s="251"/>
      <c r="D46" s="252"/>
      <c r="E46" s="253"/>
      <c r="F46" s="656"/>
      <c r="G46" s="261"/>
      <c r="H46" s="252"/>
      <c r="I46" s="261"/>
      <c r="J46" s="252"/>
      <c r="K46" s="261"/>
      <c r="L46" s="252"/>
      <c r="M46" s="254"/>
      <c r="N46" s="255"/>
      <c r="O46" s="256"/>
      <c r="P46" s="1047"/>
      <c r="Q46" s="1048"/>
      <c r="R46" s="763"/>
      <c r="S46"/>
      <c r="T46"/>
    </row>
    <row r="47" spans="1:20" ht="12.75" customHeight="1">
      <c r="A47" s="24" t="str">
        <f>'t1'!A47</f>
        <v>CONTRATTISTI (a)</v>
      </c>
      <c r="B47" s="336" t="str">
        <f>'t1'!B47</f>
        <v>000061</v>
      </c>
      <c r="C47" s="251"/>
      <c r="D47" s="252"/>
      <c r="E47" s="253"/>
      <c r="F47" s="656"/>
      <c r="G47" s="261"/>
      <c r="H47" s="252"/>
      <c r="I47" s="261"/>
      <c r="J47" s="252"/>
      <c r="K47" s="261"/>
      <c r="L47" s="252"/>
      <c r="M47" s="254"/>
      <c r="N47" s="255"/>
      <c r="O47" s="256"/>
      <c r="P47" s="1047"/>
      <c r="Q47" s="1048"/>
      <c r="R47" s="763"/>
      <c r="S47"/>
      <c r="T47"/>
    </row>
    <row r="48" spans="1:20" ht="12.75" customHeight="1" thickBot="1">
      <c r="A48" s="24" t="str">
        <f>'t1'!A48</f>
        <v>COLLABORATORE A TEMPO DETERMIN. (b)</v>
      </c>
      <c r="B48" s="336" t="str">
        <f>'t1'!B48</f>
        <v>000096</v>
      </c>
      <c r="C48" s="251"/>
      <c r="D48" s="252"/>
      <c r="E48" s="253"/>
      <c r="F48" s="656"/>
      <c r="G48" s="260"/>
      <c r="H48" s="252"/>
      <c r="I48" s="260"/>
      <c r="J48" s="252"/>
      <c r="K48" s="260"/>
      <c r="L48" s="252"/>
      <c r="M48" s="254"/>
      <c r="N48" s="255"/>
      <c r="O48" s="256"/>
      <c r="P48" s="1047"/>
      <c r="Q48" s="1049"/>
      <c r="R48" s="764"/>
      <c r="S48"/>
      <c r="T48"/>
    </row>
    <row r="49" spans="1:20" ht="15.75" customHeight="1" thickBot="1" thickTop="1">
      <c r="A49" s="104" t="s">
        <v>78</v>
      </c>
      <c r="B49" s="182"/>
      <c r="C49" s="531">
        <f aca="true" t="shared" si="0" ref="C49:P49">SUM(C6:C48)</f>
        <v>0</v>
      </c>
      <c r="D49" s="532">
        <f t="shared" si="0"/>
        <v>0</v>
      </c>
      <c r="E49" s="533">
        <f t="shared" si="0"/>
        <v>0</v>
      </c>
      <c r="F49" s="657">
        <f t="shared" si="0"/>
        <v>0</v>
      </c>
      <c r="G49" s="533">
        <f aca="true" t="shared" si="1" ref="G49:L49">SUM(G6:G48)</f>
        <v>0</v>
      </c>
      <c r="H49" s="655">
        <f t="shared" si="1"/>
        <v>0</v>
      </c>
      <c r="I49" s="533">
        <f t="shared" si="1"/>
        <v>0</v>
      </c>
      <c r="J49" s="655">
        <f t="shared" si="1"/>
        <v>0</v>
      </c>
      <c r="K49" s="533">
        <f t="shared" si="1"/>
        <v>0</v>
      </c>
      <c r="L49" s="655">
        <f t="shared" si="1"/>
        <v>0</v>
      </c>
      <c r="M49" s="531">
        <f t="shared" si="0"/>
        <v>0</v>
      </c>
      <c r="N49" s="532">
        <f t="shared" si="0"/>
        <v>0</v>
      </c>
      <c r="O49" s="533">
        <f t="shared" si="0"/>
        <v>0</v>
      </c>
      <c r="P49" s="532">
        <f t="shared" si="0"/>
        <v>0</v>
      </c>
      <c r="Q49" s="1050">
        <f>SUM(Q6:Q48)</f>
        <v>0</v>
      </c>
      <c r="R49" s="678">
        <f>SUM(R6:R48)</f>
        <v>0</v>
      </c>
      <c r="S49"/>
      <c r="T49"/>
    </row>
    <row r="50" spans="1:16" ht="11.25">
      <c r="A50" s="26"/>
      <c r="B50" s="18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1:24" ht="11.25">
      <c r="A51" s="26" t="s">
        <v>192</v>
      </c>
      <c r="B51" s="183"/>
      <c r="C51" s="5"/>
      <c r="D51" s="18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S51" s="5"/>
      <c r="T51" s="5"/>
      <c r="U51" s="5"/>
      <c r="V51" s="5"/>
      <c r="W51" s="5"/>
      <c r="X51" s="5"/>
    </row>
    <row r="52" spans="1:2" s="5" customFormat="1" ht="11.25">
      <c r="A52" s="26" t="s">
        <v>448</v>
      </c>
      <c r="B52" s="7"/>
    </row>
    <row r="53" spans="1:2" ht="11.25">
      <c r="A53" s="26" t="s">
        <v>261</v>
      </c>
      <c r="B53" s="184"/>
    </row>
    <row r="54" ht="11.25">
      <c r="A54" s="84" t="s">
        <v>147</v>
      </c>
    </row>
  </sheetData>
  <sheetProtection password="EA98" sheet="1" formatColumns="0" selectLockedCells="1"/>
  <mergeCells count="7">
    <mergeCell ref="A1:N1"/>
    <mergeCell ref="F2:P2"/>
    <mergeCell ref="E4:F4"/>
    <mergeCell ref="G4:H4"/>
    <mergeCell ref="M3:R3"/>
    <mergeCell ref="I4:J4"/>
    <mergeCell ref="K4:L4"/>
  </mergeCells>
  <printOptions horizontalCentered="1" verticalCentered="1"/>
  <pageMargins left="0" right="0" top="0.1968503937007874" bottom="0.17" header="0.18" footer="0.21"/>
  <pageSetup horizontalDpi="300" verticalDpi="3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1"/>
  <dimension ref="A1:AV60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AM31" sqref="AM31"/>
    </sheetView>
  </sheetViews>
  <sheetFormatPr defaultColWidth="9.33203125" defaultRowHeight="10.5"/>
  <cols>
    <col min="1" max="1" width="37.5" style="5" customWidth="1"/>
    <col min="2" max="2" width="11" style="7" customWidth="1"/>
    <col min="3" max="5" width="4" style="7" customWidth="1"/>
    <col min="6" max="45" width="4" style="5" customWidth="1"/>
    <col min="46" max="46" width="11.66015625" style="5" customWidth="1"/>
    <col min="47" max="69" width="3.83203125" style="5" customWidth="1"/>
    <col min="70" max="16384" width="9.33203125" style="5" customWidth="1"/>
  </cols>
  <sheetData>
    <row r="1" spans="1:46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X1" s="1392"/>
      <c r="Y1" s="1392"/>
      <c r="Z1" s="1392"/>
      <c r="AA1" s="1392"/>
      <c r="AB1" s="1392"/>
      <c r="AC1" s="1392"/>
      <c r="AD1" s="1392"/>
      <c r="AE1" s="1392"/>
      <c r="AF1" s="1392"/>
      <c r="AG1" s="1392"/>
      <c r="AH1" s="1392"/>
      <c r="AI1" s="1392"/>
      <c r="AJ1" s="1392"/>
      <c r="AK1" s="1392"/>
      <c r="AL1" s="1392"/>
      <c r="AM1" s="1392"/>
      <c r="AN1" s="1392"/>
      <c r="AO1" s="1392"/>
      <c r="AP1" s="1392"/>
      <c r="AQ1" s="1392"/>
      <c r="AR1" s="1392"/>
      <c r="AS1" s="1392"/>
      <c r="AT1" s="370"/>
    </row>
    <row r="2" spans="1:46" ht="30" customHeight="1" thickBo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397"/>
      <c r="AG2" s="1397"/>
      <c r="AH2" s="1397"/>
      <c r="AI2" s="1397"/>
      <c r="AJ2" s="1397"/>
      <c r="AK2" s="1397"/>
      <c r="AL2" s="1397"/>
      <c r="AM2" s="1397"/>
      <c r="AN2" s="1397"/>
      <c r="AO2" s="1397"/>
      <c r="AP2" s="1397"/>
      <c r="AQ2" s="1397"/>
      <c r="AR2" s="1397"/>
      <c r="AS2" s="1397"/>
      <c r="AT2" s="1397"/>
    </row>
    <row r="3" spans="1:46" ht="13.5" thickBot="1">
      <c r="A3" s="362"/>
      <c r="B3" s="13"/>
      <c r="C3" s="1421" t="s">
        <v>73</v>
      </c>
      <c r="D3" s="1421"/>
      <c r="E3" s="1421"/>
      <c r="F3" s="1421"/>
      <c r="G3" s="1421"/>
      <c r="H3" s="1421"/>
      <c r="I3" s="1421"/>
      <c r="J3" s="1421"/>
      <c r="K3" s="1421"/>
      <c r="L3" s="1421"/>
      <c r="M3" s="1421"/>
      <c r="N3" s="1421"/>
      <c r="O3" s="1421"/>
      <c r="P3" s="1421"/>
      <c r="Q3" s="1421"/>
      <c r="R3" s="1421"/>
      <c r="S3" s="1421"/>
      <c r="T3" s="1421"/>
      <c r="U3" s="1421"/>
      <c r="V3" s="1421"/>
      <c r="W3" s="1421"/>
      <c r="X3" s="1421"/>
      <c r="Y3" s="1421"/>
      <c r="Z3" s="1421"/>
      <c r="AA3" s="1421"/>
      <c r="AB3" s="1421"/>
      <c r="AC3" s="1421"/>
      <c r="AD3" s="1421"/>
      <c r="AE3" s="1421"/>
      <c r="AF3" s="1421"/>
      <c r="AG3" s="1421"/>
      <c r="AH3" s="1421"/>
      <c r="AI3" s="1421"/>
      <c r="AJ3" s="1421"/>
      <c r="AK3" s="1421"/>
      <c r="AL3" s="1421"/>
      <c r="AM3" s="1421"/>
      <c r="AN3" s="1421"/>
      <c r="AO3" s="1421"/>
      <c r="AP3" s="1421"/>
      <c r="AQ3" s="1421"/>
      <c r="AR3" s="1421"/>
      <c r="AS3" s="1421"/>
      <c r="AT3" s="248"/>
    </row>
    <row r="4" spans="1:46" s="108" customFormat="1" ht="16.5" customHeight="1" thickTop="1">
      <c r="A4" s="365"/>
      <c r="B4" s="363"/>
      <c r="C4" s="1419" t="s">
        <v>191</v>
      </c>
      <c r="D4" s="1420"/>
      <c r="E4" s="1420"/>
      <c r="F4" s="1420"/>
      <c r="G4" s="1420"/>
      <c r="H4" s="1420"/>
      <c r="I4" s="1420"/>
      <c r="J4" s="1420"/>
      <c r="K4" s="1420"/>
      <c r="L4" s="1420"/>
      <c r="M4" s="1420"/>
      <c r="N4" s="1420"/>
      <c r="O4" s="1420"/>
      <c r="P4" s="1420"/>
      <c r="Q4" s="1420"/>
      <c r="R4" s="1420"/>
      <c r="S4" s="1420"/>
      <c r="T4" s="1420"/>
      <c r="U4" s="1420"/>
      <c r="V4" s="1420"/>
      <c r="W4" s="1420"/>
      <c r="X4" s="1420"/>
      <c r="Y4" s="1420"/>
      <c r="Z4" s="1420"/>
      <c r="AA4" s="1420"/>
      <c r="AB4" s="1420"/>
      <c r="AC4" s="1420"/>
      <c r="AD4" s="1420"/>
      <c r="AE4" s="1420"/>
      <c r="AF4" s="1420"/>
      <c r="AG4" s="1420"/>
      <c r="AH4" s="1420"/>
      <c r="AI4" s="1420"/>
      <c r="AJ4" s="1420"/>
      <c r="AK4" s="1420"/>
      <c r="AL4" s="1420"/>
      <c r="AM4" s="1420"/>
      <c r="AN4" s="1420"/>
      <c r="AO4" s="1420"/>
      <c r="AP4" s="1420"/>
      <c r="AQ4" s="1420"/>
      <c r="AR4" s="1420"/>
      <c r="AS4" s="1420"/>
      <c r="AT4" s="367"/>
    </row>
    <row r="5" spans="1:46" ht="63.75" customHeight="1" thickBot="1">
      <c r="A5" s="361" t="s">
        <v>275</v>
      </c>
      <c r="B5" s="364" t="s">
        <v>276</v>
      </c>
      <c r="C5" s="288" t="str">
        <f>B6</f>
        <v>0D0102</v>
      </c>
      <c r="D5" s="289" t="str">
        <f>B7</f>
        <v>0D0103</v>
      </c>
      <c r="E5" s="289" t="str">
        <f>B8</f>
        <v>0D0485</v>
      </c>
      <c r="F5" s="289" t="str">
        <f>B9</f>
        <v>0D0104</v>
      </c>
      <c r="G5" s="289" t="str">
        <f>B10</f>
        <v>0D0097</v>
      </c>
      <c r="H5" s="289" t="str">
        <f>B11</f>
        <v>0D0098</v>
      </c>
      <c r="I5" s="289" t="str">
        <f>B12</f>
        <v>0D0095</v>
      </c>
      <c r="J5" s="289" t="str">
        <f>B13</f>
        <v>0D0100</v>
      </c>
      <c r="K5" s="289" t="str">
        <f>B14</f>
        <v>0D0099</v>
      </c>
      <c r="L5" s="290" t="str">
        <f>B15</f>
        <v>0D6A00</v>
      </c>
      <c r="M5" s="290" t="str">
        <f>B16</f>
        <v>0D6000</v>
      </c>
      <c r="N5" s="289" t="str">
        <f>B17</f>
        <v>052486</v>
      </c>
      <c r="O5" s="289" t="str">
        <f>B18</f>
        <v>052487</v>
      </c>
      <c r="P5" s="289" t="str">
        <f>B19</f>
        <v>051488</v>
      </c>
      <c r="Q5" s="289" t="str">
        <f>B20</f>
        <v>051489</v>
      </c>
      <c r="R5" s="289" t="str">
        <f>B21</f>
        <v>058000</v>
      </c>
      <c r="S5" s="289" t="str">
        <f>B22</f>
        <v>050000</v>
      </c>
      <c r="T5" s="289" t="str">
        <f>B23</f>
        <v>049000</v>
      </c>
      <c r="U5" s="289" t="str">
        <f>B24</f>
        <v>057000</v>
      </c>
      <c r="V5" s="290" t="str">
        <f>B25</f>
        <v>046000</v>
      </c>
      <c r="W5" s="289" t="str">
        <f>B26</f>
        <v>045000</v>
      </c>
      <c r="X5" s="289" t="str">
        <f>B27</f>
        <v>043000</v>
      </c>
      <c r="Y5" s="289" t="str">
        <f>B28</f>
        <v>042000</v>
      </c>
      <c r="Z5" s="289" t="str">
        <f>B29</f>
        <v>056000</v>
      </c>
      <c r="AA5" s="290" t="str">
        <f>B30</f>
        <v>0B7A00</v>
      </c>
      <c r="AB5" s="290" t="str">
        <f>B31</f>
        <v>0B7000</v>
      </c>
      <c r="AC5" s="289" t="str">
        <f>B32</f>
        <v>038490</v>
      </c>
      <c r="AD5" s="289" t="str">
        <f>B33</f>
        <v>038491</v>
      </c>
      <c r="AE5" s="289" t="str">
        <f>B34</f>
        <v>037492</v>
      </c>
      <c r="AF5" s="289" t="str">
        <f>B35</f>
        <v>037493</v>
      </c>
      <c r="AG5" s="289" t="str">
        <f>B36</f>
        <v>036494</v>
      </c>
      <c r="AH5" s="289" t="str">
        <f>B37</f>
        <v>036495</v>
      </c>
      <c r="AI5" s="289" t="str">
        <f>B38</f>
        <v>055000</v>
      </c>
      <c r="AJ5" s="289" t="str">
        <f>B39</f>
        <v>034000</v>
      </c>
      <c r="AK5" s="289" t="str">
        <f>B40</f>
        <v>032000</v>
      </c>
      <c r="AL5" s="289" t="str">
        <f>B41</f>
        <v>054000</v>
      </c>
      <c r="AM5" s="289" t="str">
        <f>B42</f>
        <v>0A5000</v>
      </c>
      <c r="AN5" s="289" t="str">
        <f>B43</f>
        <v>028000</v>
      </c>
      <c r="AO5" s="289" t="str">
        <f>B44</f>
        <v>027000</v>
      </c>
      <c r="AP5" s="289" t="str">
        <f>B45</f>
        <v>025000</v>
      </c>
      <c r="AQ5" s="289" t="str">
        <f>B46</f>
        <v>053000</v>
      </c>
      <c r="AR5" s="289" t="str">
        <f>B47</f>
        <v>000061</v>
      </c>
      <c r="AS5" s="289" t="str">
        <f>B48</f>
        <v>000096</v>
      </c>
      <c r="AT5" s="368" t="s">
        <v>142</v>
      </c>
    </row>
    <row r="6" spans="1:46" ht="12" customHeight="1" thickTop="1">
      <c r="A6" s="24" t="str">
        <f>'t1'!A6</f>
        <v>SEGRETARIO A</v>
      </c>
      <c r="B6" s="167" t="str">
        <f>'t1'!B6</f>
        <v>0D0102</v>
      </c>
      <c r="C6" s="291"/>
      <c r="D6" s="291"/>
      <c r="E6" s="291"/>
      <c r="F6" s="292"/>
      <c r="G6" s="292"/>
      <c r="H6" s="293"/>
      <c r="I6" s="293"/>
      <c r="J6" s="293"/>
      <c r="K6" s="293"/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P6" s="293"/>
      <c r="AQ6" s="293"/>
      <c r="AR6" s="293"/>
      <c r="AS6" s="293"/>
      <c r="AT6" s="534">
        <f aca="true" t="shared" si="0" ref="AT6:AT48">SUM(C6:AS6)</f>
        <v>0</v>
      </c>
    </row>
    <row r="7" spans="1:46" ht="12" customHeight="1">
      <c r="A7" s="168" t="str">
        <f>'t1'!A7</f>
        <v>SEGRETARIO B</v>
      </c>
      <c r="B7" s="249" t="str">
        <f>'t1'!B7</f>
        <v>0D0103</v>
      </c>
      <c r="C7" s="292"/>
      <c r="D7" s="292"/>
      <c r="E7" s="292"/>
      <c r="F7" s="292"/>
      <c r="G7" s="292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534">
        <f t="shared" si="0"/>
        <v>0</v>
      </c>
    </row>
    <row r="8" spans="1:46" ht="12" customHeight="1">
      <c r="A8" s="168" t="str">
        <f>'t1'!A8</f>
        <v>SEGRETARIO C</v>
      </c>
      <c r="B8" s="249" t="str">
        <f>'t1'!B8</f>
        <v>0D0485</v>
      </c>
      <c r="C8" s="292"/>
      <c r="D8" s="292"/>
      <c r="E8" s="292"/>
      <c r="F8" s="292"/>
      <c r="G8" s="292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293"/>
      <c r="AL8" s="293"/>
      <c r="AM8" s="293"/>
      <c r="AN8" s="293"/>
      <c r="AO8" s="293"/>
      <c r="AP8" s="293"/>
      <c r="AQ8" s="293"/>
      <c r="AR8" s="293"/>
      <c r="AS8" s="293"/>
      <c r="AT8" s="534">
        <f t="shared" si="0"/>
        <v>0</v>
      </c>
    </row>
    <row r="9" spans="1:46" ht="12" customHeight="1">
      <c r="A9" s="168" t="str">
        <f>'t1'!A9</f>
        <v>SEGRETARIO GENERALE CCIAA</v>
      </c>
      <c r="B9" s="249" t="str">
        <f>'t1'!B9</f>
        <v>0D0104</v>
      </c>
      <c r="C9" s="292"/>
      <c r="D9" s="292"/>
      <c r="E9" s="292"/>
      <c r="F9" s="292"/>
      <c r="G9" s="292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293"/>
      <c r="AN9" s="293"/>
      <c r="AO9" s="293"/>
      <c r="AP9" s="293"/>
      <c r="AQ9" s="293"/>
      <c r="AR9" s="293"/>
      <c r="AS9" s="293"/>
      <c r="AT9" s="534">
        <f t="shared" si="0"/>
        <v>0</v>
      </c>
    </row>
    <row r="10" spans="1:46" ht="12" customHeight="1">
      <c r="A10" s="168" t="str">
        <f>'t1'!A10</f>
        <v>DIRETTORE  GENERALE</v>
      </c>
      <c r="B10" s="249" t="str">
        <f>'t1'!B10</f>
        <v>0D0097</v>
      </c>
      <c r="C10" s="295"/>
      <c r="D10" s="296"/>
      <c r="E10" s="296"/>
      <c r="F10" s="292"/>
      <c r="G10" s="292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534">
        <f t="shared" si="0"/>
        <v>0</v>
      </c>
    </row>
    <row r="11" spans="1:46" ht="12" customHeight="1">
      <c r="A11" s="168" t="str">
        <f>'t1'!A11</f>
        <v>DIRIGENTE FUORI D.O.</v>
      </c>
      <c r="B11" s="249" t="str">
        <f>'t1'!B11</f>
        <v>0D0098</v>
      </c>
      <c r="C11" s="295"/>
      <c r="D11" s="296"/>
      <c r="E11" s="296"/>
      <c r="F11" s="292"/>
      <c r="G11" s="292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534">
        <f t="shared" si="0"/>
        <v>0</v>
      </c>
    </row>
    <row r="12" spans="1:46" ht="12" customHeight="1">
      <c r="A12" s="168" t="str">
        <f>'t1'!A12</f>
        <v>ALTE SPECIALIZZ. FUORI D.O.</v>
      </c>
      <c r="B12" s="249" t="str">
        <f>'t1'!B12</f>
        <v>0D0095</v>
      </c>
      <c r="C12" s="292"/>
      <c r="D12" s="292"/>
      <c r="E12" s="292"/>
      <c r="F12" s="292"/>
      <c r="G12" s="292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534">
        <f t="shared" si="0"/>
        <v>0</v>
      </c>
    </row>
    <row r="13" spans="1:46" ht="12" customHeight="1">
      <c r="A13" s="168" t="str">
        <f>'t1'!A13</f>
        <v>QUALIFICA DIRIGENZIALE TEMPO INDET.</v>
      </c>
      <c r="B13" s="249" t="str">
        <f>'t1'!B13</f>
        <v>0D0100</v>
      </c>
      <c r="C13" s="297"/>
      <c r="D13" s="297"/>
      <c r="E13" s="297"/>
      <c r="F13" s="297"/>
      <c r="G13" s="297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  <c r="AP13" s="296"/>
      <c r="AQ13" s="296"/>
      <c r="AR13" s="296"/>
      <c r="AS13" s="296"/>
      <c r="AT13" s="534">
        <f t="shared" si="0"/>
        <v>0</v>
      </c>
    </row>
    <row r="14" spans="1:46" ht="12" customHeight="1">
      <c r="A14" s="168" t="str">
        <f>'t1'!A14</f>
        <v>QUALIFICA DIRIGENZIALE TEMPO DETER.</v>
      </c>
      <c r="B14" s="249" t="str">
        <f>'t1'!B14</f>
        <v>0D0099</v>
      </c>
      <c r="C14" s="297"/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N14" s="296"/>
      <c r="O14" s="296"/>
      <c r="P14" s="296"/>
      <c r="Q14" s="296"/>
      <c r="R14" s="296"/>
      <c r="S14" s="296"/>
      <c r="T14" s="296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  <c r="AP14" s="296"/>
      <c r="AQ14" s="296"/>
      <c r="AR14" s="296"/>
      <c r="AS14" s="296"/>
      <c r="AT14" s="534">
        <f t="shared" si="0"/>
        <v>0</v>
      </c>
    </row>
    <row r="15" spans="1:46" ht="12" customHeight="1">
      <c r="A15" s="168" t="str">
        <f>'t1'!A15</f>
        <v>POSIZ. ECON. D6 - PROFILI ACCESSO D3</v>
      </c>
      <c r="B15" s="249" t="str">
        <f>'t1'!B15</f>
        <v>0D6A00</v>
      </c>
      <c r="C15" s="297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  <c r="AP15" s="296"/>
      <c r="AQ15" s="296"/>
      <c r="AR15" s="296"/>
      <c r="AS15" s="296"/>
      <c r="AT15" s="534">
        <f t="shared" si="0"/>
        <v>0</v>
      </c>
    </row>
    <row r="16" spans="1:46" ht="12" customHeight="1">
      <c r="A16" s="168" t="str">
        <f>'t1'!A16</f>
        <v>POSIZ. ECON. D6 - PROFILO ACCESSO D1</v>
      </c>
      <c r="B16" s="249" t="str">
        <f>'t1'!B16</f>
        <v>0D6000</v>
      </c>
      <c r="C16" s="297"/>
      <c r="D16" s="292"/>
      <c r="E16" s="292"/>
      <c r="F16" s="292"/>
      <c r="G16" s="292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534">
        <f t="shared" si="0"/>
        <v>0</v>
      </c>
    </row>
    <row r="17" spans="1:46" ht="12" customHeight="1">
      <c r="A17" s="168" t="str">
        <f>'t1'!A17</f>
        <v>POSIZ.ECON. D5 PROFILI ACCESSO D3</v>
      </c>
      <c r="B17" s="249" t="str">
        <f>'t1'!B17</f>
        <v>052486</v>
      </c>
      <c r="C17" s="297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6"/>
      <c r="T17" s="296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534">
        <f t="shared" si="0"/>
        <v>0</v>
      </c>
    </row>
    <row r="18" spans="1:46" ht="12" customHeight="1">
      <c r="A18" s="168" t="str">
        <f>'t1'!A18</f>
        <v>POSIZ.ECON. D5 PROFILI ACCESSO D1</v>
      </c>
      <c r="B18" s="249" t="str">
        <f>'t1'!B18</f>
        <v>052487</v>
      </c>
      <c r="C18" s="297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534">
        <f t="shared" si="0"/>
        <v>0</v>
      </c>
    </row>
    <row r="19" spans="1:46" ht="12" customHeight="1">
      <c r="A19" s="168" t="str">
        <f>'t1'!A19</f>
        <v>POSIZ.ECON. D4 PROFILI ACCESSO D3</v>
      </c>
      <c r="B19" s="249" t="str">
        <f>'t1'!B19</f>
        <v>051488</v>
      </c>
      <c r="C19" s="297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534">
        <f t="shared" si="0"/>
        <v>0</v>
      </c>
    </row>
    <row r="20" spans="1:46" ht="12" customHeight="1">
      <c r="A20" s="168" t="str">
        <f>'t1'!A20</f>
        <v>POSIZ.ECON. D4 PROFILI ACCESSO D1</v>
      </c>
      <c r="B20" s="249" t="str">
        <f>'t1'!B20</f>
        <v>051489</v>
      </c>
      <c r="C20" s="297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534">
        <f t="shared" si="0"/>
        <v>0</v>
      </c>
    </row>
    <row r="21" spans="1:46" ht="12" customHeight="1">
      <c r="A21" s="168" t="str">
        <f>'t1'!A21</f>
        <v>POSIZIONE ECONOMICA DI ACCESSO D3</v>
      </c>
      <c r="B21" s="249" t="str">
        <f>'t1'!B21</f>
        <v>058000</v>
      </c>
      <c r="C21" s="297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534">
        <f t="shared" si="0"/>
        <v>0</v>
      </c>
    </row>
    <row r="22" spans="1:46" ht="12" customHeight="1">
      <c r="A22" s="168" t="str">
        <f>'t1'!A22</f>
        <v>POSIZIONE ECONOMICA D3</v>
      </c>
      <c r="B22" s="249" t="str">
        <f>'t1'!B22</f>
        <v>050000</v>
      </c>
      <c r="C22" s="297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96"/>
      <c r="AQ22" s="296"/>
      <c r="AR22" s="296"/>
      <c r="AS22" s="296"/>
      <c r="AT22" s="534">
        <f t="shared" si="0"/>
        <v>0</v>
      </c>
    </row>
    <row r="23" spans="1:46" ht="12" customHeight="1">
      <c r="A23" s="168" t="str">
        <f>'t1'!A23</f>
        <v>POSIZIONE ECONOMICA D2</v>
      </c>
      <c r="B23" s="249" t="str">
        <f>'t1'!B23</f>
        <v>049000</v>
      </c>
      <c r="C23" s="297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96"/>
      <c r="AQ23" s="296"/>
      <c r="AR23" s="296"/>
      <c r="AS23" s="296"/>
      <c r="AT23" s="534">
        <f t="shared" si="0"/>
        <v>0</v>
      </c>
    </row>
    <row r="24" spans="1:46" ht="12" customHeight="1">
      <c r="A24" s="168" t="str">
        <f>'t1'!A24</f>
        <v>POSIZIONE ECONOMICA DI ACCESSO D1</v>
      </c>
      <c r="B24" s="249" t="str">
        <f>'t1'!B24</f>
        <v>057000</v>
      </c>
      <c r="C24" s="297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  <c r="R24" s="296"/>
      <c r="S24" s="296"/>
      <c r="T24" s="296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  <c r="AP24" s="296"/>
      <c r="AQ24" s="296"/>
      <c r="AR24" s="296"/>
      <c r="AS24" s="296"/>
      <c r="AT24" s="534">
        <f t="shared" si="0"/>
        <v>0</v>
      </c>
    </row>
    <row r="25" spans="1:46" ht="12" customHeight="1">
      <c r="A25" s="168" t="str">
        <f>'t1'!A25</f>
        <v>POSIZIONE ECONOMICA C5</v>
      </c>
      <c r="B25" s="249" t="str">
        <f>'t1'!B25</f>
        <v>046000</v>
      </c>
      <c r="C25" s="297"/>
      <c r="D25" s="292"/>
      <c r="E25" s="292"/>
      <c r="F25" s="292"/>
      <c r="G25" s="292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293"/>
      <c r="AT25" s="534">
        <f t="shared" si="0"/>
        <v>0</v>
      </c>
    </row>
    <row r="26" spans="1:46" ht="12" customHeight="1">
      <c r="A26" s="168" t="str">
        <f>'t1'!A26</f>
        <v>POSIZIONE ECONOMICA C4</v>
      </c>
      <c r="B26" s="249" t="str">
        <f>'t1'!B26</f>
        <v>045000</v>
      </c>
      <c r="C26" s="297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96"/>
      <c r="S26" s="296"/>
      <c r="T26" s="296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96"/>
      <c r="AS26" s="296"/>
      <c r="AT26" s="534">
        <f t="shared" si="0"/>
        <v>0</v>
      </c>
    </row>
    <row r="27" spans="1:46" ht="12" customHeight="1">
      <c r="A27" s="168" t="str">
        <f>'t1'!A27</f>
        <v>POSIZIONE ECONOMICA C3</v>
      </c>
      <c r="B27" s="249" t="str">
        <f>'t1'!B27</f>
        <v>043000</v>
      </c>
      <c r="C27" s="297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534">
        <f t="shared" si="0"/>
        <v>0</v>
      </c>
    </row>
    <row r="28" spans="1:46" ht="12" customHeight="1">
      <c r="A28" s="168" t="str">
        <f>'t1'!A28</f>
        <v>POSIZIONE ECONOMICA C2</v>
      </c>
      <c r="B28" s="249" t="str">
        <f>'t1'!B28</f>
        <v>042000</v>
      </c>
      <c r="C28" s="297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  <c r="AC28" s="296"/>
      <c r="AD28" s="296"/>
      <c r="AE28" s="296"/>
      <c r="AF28" s="296"/>
      <c r="AG28" s="296"/>
      <c r="AH28" s="296"/>
      <c r="AI28" s="296"/>
      <c r="AJ28" s="296"/>
      <c r="AK28" s="296"/>
      <c r="AL28" s="296"/>
      <c r="AM28" s="296"/>
      <c r="AN28" s="296"/>
      <c r="AO28" s="296"/>
      <c r="AP28" s="296"/>
      <c r="AQ28" s="296"/>
      <c r="AR28" s="296"/>
      <c r="AS28" s="296"/>
      <c r="AT28" s="534">
        <f t="shared" si="0"/>
        <v>0</v>
      </c>
    </row>
    <row r="29" spans="1:46" ht="12" customHeight="1">
      <c r="A29" s="168" t="str">
        <f>'t1'!A29</f>
        <v>POSIZIONE ECONOMICA DI ACCESSO C1</v>
      </c>
      <c r="B29" s="249" t="str">
        <f>'t1'!B29</f>
        <v>056000</v>
      </c>
      <c r="C29" s="297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96"/>
      <c r="S29" s="296"/>
      <c r="T29" s="296"/>
      <c r="U29" s="296"/>
      <c r="V29" s="296"/>
      <c r="W29" s="296"/>
      <c r="X29" s="296"/>
      <c r="Y29" s="296"/>
      <c r="Z29" s="296"/>
      <c r="AA29" s="296"/>
      <c r="AB29" s="296"/>
      <c r="AC29" s="296"/>
      <c r="AD29" s="296"/>
      <c r="AE29" s="296"/>
      <c r="AF29" s="296"/>
      <c r="AG29" s="296"/>
      <c r="AH29" s="296"/>
      <c r="AI29" s="296"/>
      <c r="AJ29" s="296"/>
      <c r="AK29" s="296"/>
      <c r="AL29" s="296"/>
      <c r="AM29" s="296"/>
      <c r="AN29" s="296"/>
      <c r="AO29" s="296"/>
      <c r="AP29" s="296"/>
      <c r="AQ29" s="296"/>
      <c r="AR29" s="296"/>
      <c r="AS29" s="296"/>
      <c r="AT29" s="534">
        <f t="shared" si="0"/>
        <v>0</v>
      </c>
    </row>
    <row r="30" spans="1:46" ht="12" customHeight="1">
      <c r="A30" s="168" t="str">
        <f>'t1'!A30</f>
        <v>POSIZ. ECON. B7 - PROFILO ACCESSO B3</v>
      </c>
      <c r="B30" s="249" t="str">
        <f>'t1'!B30</f>
        <v>0B7A00</v>
      </c>
      <c r="C30" s="299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534">
        <f t="shared" si="0"/>
        <v>0</v>
      </c>
    </row>
    <row r="31" spans="1:46" ht="12" customHeight="1">
      <c r="A31" s="168" t="str">
        <f>'t1'!A31</f>
        <v>POSIZ. ECON. B7 - PROFILO  ACCESSO B1</v>
      </c>
      <c r="B31" s="249" t="str">
        <f>'t1'!B31</f>
        <v>0B7000</v>
      </c>
      <c r="C31" s="299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534">
        <f t="shared" si="0"/>
        <v>0</v>
      </c>
    </row>
    <row r="32" spans="1:46" ht="12" customHeight="1">
      <c r="A32" s="168" t="str">
        <f>'t1'!A32</f>
        <v>POSIZ.ECON. B6 PROFILI ACCESSO B3</v>
      </c>
      <c r="B32" s="249" t="str">
        <f>'t1'!B32</f>
        <v>038490</v>
      </c>
      <c r="C32" s="299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534">
        <f t="shared" si="0"/>
        <v>0</v>
      </c>
    </row>
    <row r="33" spans="1:46" ht="12" customHeight="1">
      <c r="A33" s="168" t="str">
        <f>'t1'!A33</f>
        <v>POSIZ.ECON. B6 PROFILI ACCESSO B1</v>
      </c>
      <c r="B33" s="249" t="str">
        <f>'t1'!B33</f>
        <v>038491</v>
      </c>
      <c r="C33" s="299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534">
        <f t="shared" si="0"/>
        <v>0</v>
      </c>
    </row>
    <row r="34" spans="1:46" ht="12" customHeight="1">
      <c r="A34" s="168" t="str">
        <f>'t1'!A34</f>
        <v>POSIZ.ECON. B5 PROFILI ACCESSO B3</v>
      </c>
      <c r="B34" s="249" t="str">
        <f>'t1'!B34</f>
        <v>037492</v>
      </c>
      <c r="C34" s="299"/>
      <c r="D34" s="300"/>
      <c r="E34" s="300"/>
      <c r="F34" s="300"/>
      <c r="G34" s="300"/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>
        <v>1</v>
      </c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534">
        <f t="shared" si="0"/>
        <v>1</v>
      </c>
    </row>
    <row r="35" spans="1:46" ht="12" customHeight="1">
      <c r="A35" s="168" t="str">
        <f>'t1'!A35</f>
        <v>POSIZ.ECON. B5 PROFILI ACCESSO B1</v>
      </c>
      <c r="B35" s="249" t="str">
        <f>'t1'!B35</f>
        <v>037493</v>
      </c>
      <c r="C35" s="299"/>
      <c r="D35" s="300"/>
      <c r="E35" s="300"/>
      <c r="F35" s="300"/>
      <c r="G35" s="300"/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  <c r="AQ35" s="300"/>
      <c r="AR35" s="300"/>
      <c r="AS35" s="300"/>
      <c r="AT35" s="534">
        <f t="shared" si="0"/>
        <v>0</v>
      </c>
    </row>
    <row r="36" spans="1:46" ht="12" customHeight="1">
      <c r="A36" s="168" t="str">
        <f>'t1'!A36</f>
        <v>POSIZ.ECON. B4 PROFILI ACCESSO B3</v>
      </c>
      <c r="B36" s="249" t="str">
        <f>'t1'!B36</f>
        <v>036494</v>
      </c>
      <c r="C36" s="299">
        <v>1</v>
      </c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  <c r="AQ36" s="300"/>
      <c r="AR36" s="300"/>
      <c r="AS36" s="300"/>
      <c r="AT36" s="534">
        <f t="shared" si="0"/>
        <v>1</v>
      </c>
    </row>
    <row r="37" spans="1:46" ht="12" customHeight="1">
      <c r="A37" s="168" t="str">
        <f>'t1'!A37</f>
        <v>POSIZ.ECON. B4 PROFILI ACCESSO B1</v>
      </c>
      <c r="B37" s="249" t="str">
        <f>'t1'!B37</f>
        <v>036495</v>
      </c>
      <c r="C37" s="299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534">
        <f t="shared" si="0"/>
        <v>0</v>
      </c>
    </row>
    <row r="38" spans="1:46" ht="12" customHeight="1">
      <c r="A38" s="168" t="str">
        <f>'t1'!A38</f>
        <v>POSIZIONE ECONOMICA DI ACCESSO B3</v>
      </c>
      <c r="B38" s="249" t="str">
        <f>'t1'!B38</f>
        <v>055000</v>
      </c>
      <c r="C38" s="299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534">
        <f t="shared" si="0"/>
        <v>0</v>
      </c>
    </row>
    <row r="39" spans="1:46" ht="12" customHeight="1">
      <c r="A39" s="168" t="str">
        <f>'t1'!A39</f>
        <v>POSIZIONE ECONOMICA B3</v>
      </c>
      <c r="B39" s="249" t="str">
        <f>'t1'!B39</f>
        <v>034000</v>
      </c>
      <c r="C39" s="299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534">
        <f t="shared" si="0"/>
        <v>0</v>
      </c>
    </row>
    <row r="40" spans="1:46" ht="12" customHeight="1">
      <c r="A40" s="168" t="str">
        <f>'t1'!A40</f>
        <v>POSIZIONE ECONOMICA B2</v>
      </c>
      <c r="B40" s="249" t="str">
        <f>'t1'!B40</f>
        <v>032000</v>
      </c>
      <c r="C40" s="299"/>
      <c r="D40" s="300"/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534">
        <f t="shared" si="0"/>
        <v>0</v>
      </c>
    </row>
    <row r="41" spans="1:46" ht="12" customHeight="1">
      <c r="A41" s="168" t="str">
        <f>'t1'!A41</f>
        <v>POSIZIONE ECONOMICA DI ACCESSO B1</v>
      </c>
      <c r="B41" s="249" t="str">
        <f>'t1'!B41</f>
        <v>054000</v>
      </c>
      <c r="C41" s="299"/>
      <c r="D41" s="300"/>
      <c r="E41" s="300"/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534">
        <f t="shared" si="0"/>
        <v>0</v>
      </c>
    </row>
    <row r="42" spans="1:46" ht="12" customHeight="1">
      <c r="A42" s="168" t="str">
        <f>'t1'!A42</f>
        <v>POSIZIONE ECONOMICA A5</v>
      </c>
      <c r="B42" s="249" t="str">
        <f>'t1'!B42</f>
        <v>0A5000</v>
      </c>
      <c r="C42" s="299"/>
      <c r="D42" s="300"/>
      <c r="E42" s="300"/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534">
        <f t="shared" si="0"/>
        <v>0</v>
      </c>
    </row>
    <row r="43" spans="1:46" ht="12" customHeight="1">
      <c r="A43" s="168" t="str">
        <f>'t1'!A43</f>
        <v>POSIZIONE ECONOMICA A4</v>
      </c>
      <c r="B43" s="249" t="str">
        <f>'t1'!B43</f>
        <v>028000</v>
      </c>
      <c r="C43" s="299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534">
        <f t="shared" si="0"/>
        <v>0</v>
      </c>
    </row>
    <row r="44" spans="1:46" ht="12" customHeight="1">
      <c r="A44" s="168" t="str">
        <f>'t1'!A44</f>
        <v>POSIZIONE ECONOMICA A3</v>
      </c>
      <c r="B44" s="249" t="str">
        <f>'t1'!B44</f>
        <v>027000</v>
      </c>
      <c r="C44" s="299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  <c r="AP44" s="300"/>
      <c r="AQ44" s="300"/>
      <c r="AR44" s="300"/>
      <c r="AS44" s="300"/>
      <c r="AT44" s="534">
        <f t="shared" si="0"/>
        <v>0</v>
      </c>
    </row>
    <row r="45" spans="1:46" ht="12" customHeight="1">
      <c r="A45" s="168" t="str">
        <f>'t1'!A45</f>
        <v>POSIZIONE ECONOMICA A2</v>
      </c>
      <c r="B45" s="249" t="str">
        <f>'t1'!B45</f>
        <v>025000</v>
      </c>
      <c r="C45" s="299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534">
        <f t="shared" si="0"/>
        <v>0</v>
      </c>
    </row>
    <row r="46" spans="1:46" ht="12" customHeight="1">
      <c r="A46" s="168" t="str">
        <f>'t1'!A46</f>
        <v>POSIZIONE ECONOMICA DI ACCESSO A1</v>
      </c>
      <c r="B46" s="249" t="str">
        <f>'t1'!B46</f>
        <v>053000</v>
      </c>
      <c r="C46" s="299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534">
        <f t="shared" si="0"/>
        <v>0</v>
      </c>
    </row>
    <row r="47" spans="1:46" ht="12" customHeight="1">
      <c r="A47" s="168" t="str">
        <f>'t1'!A47</f>
        <v>CONTRATTISTI (a)</v>
      </c>
      <c r="B47" s="249" t="str">
        <f>'t1'!B47</f>
        <v>000061</v>
      </c>
      <c r="C47" s="299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534">
        <f t="shared" si="0"/>
        <v>0</v>
      </c>
    </row>
    <row r="48" spans="1:46" ht="12" customHeight="1" thickBot="1">
      <c r="A48" s="168" t="str">
        <f>'t1'!A48</f>
        <v>COLLABORATORE A TEMPO DETERMIN. (b)</v>
      </c>
      <c r="B48" s="249" t="str">
        <f>'t1'!B48</f>
        <v>000096</v>
      </c>
      <c r="C48" s="299"/>
      <c r="D48" s="300"/>
      <c r="E48" s="300"/>
      <c r="F48" s="300"/>
      <c r="G48" s="300"/>
      <c r="H48" s="300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534">
        <f t="shared" si="0"/>
        <v>0</v>
      </c>
    </row>
    <row r="49" spans="1:46" s="110" customFormat="1" ht="17.25" customHeight="1" thickBot="1" thickTop="1">
      <c r="A49" s="246" t="s">
        <v>186</v>
      </c>
      <c r="B49" s="247"/>
      <c r="C49" s="536">
        <f aca="true" t="shared" si="1" ref="C49:AT49">SUM(C6:C48)</f>
        <v>1</v>
      </c>
      <c r="D49" s="537">
        <f t="shared" si="1"/>
        <v>0</v>
      </c>
      <c r="E49" s="537">
        <f t="shared" si="1"/>
        <v>0</v>
      </c>
      <c r="F49" s="537">
        <f t="shared" si="1"/>
        <v>0</v>
      </c>
      <c r="G49" s="537">
        <f t="shared" si="1"/>
        <v>0</v>
      </c>
      <c r="H49" s="537">
        <f t="shared" si="1"/>
        <v>0</v>
      </c>
      <c r="I49" s="537">
        <f t="shared" si="1"/>
        <v>0</v>
      </c>
      <c r="J49" s="537">
        <f t="shared" si="1"/>
        <v>0</v>
      </c>
      <c r="K49" s="537">
        <f t="shared" si="1"/>
        <v>0</v>
      </c>
      <c r="L49" s="537">
        <f t="shared" si="1"/>
        <v>0</v>
      </c>
      <c r="M49" s="537">
        <f t="shared" si="1"/>
        <v>0</v>
      </c>
      <c r="N49" s="537">
        <f t="shared" si="1"/>
        <v>0</v>
      </c>
      <c r="O49" s="537">
        <f t="shared" si="1"/>
        <v>0</v>
      </c>
      <c r="P49" s="537">
        <f t="shared" si="1"/>
        <v>0</v>
      </c>
      <c r="Q49" s="537">
        <f t="shared" si="1"/>
        <v>0</v>
      </c>
      <c r="R49" s="537">
        <f t="shared" si="1"/>
        <v>0</v>
      </c>
      <c r="S49" s="537">
        <f t="shared" si="1"/>
        <v>0</v>
      </c>
      <c r="T49" s="537">
        <f t="shared" si="1"/>
        <v>0</v>
      </c>
      <c r="U49" s="537">
        <f t="shared" si="1"/>
        <v>0</v>
      </c>
      <c r="V49" s="537">
        <f t="shared" si="1"/>
        <v>0</v>
      </c>
      <c r="W49" s="537">
        <f t="shared" si="1"/>
        <v>0</v>
      </c>
      <c r="X49" s="537">
        <f t="shared" si="1"/>
        <v>0</v>
      </c>
      <c r="Y49" s="537">
        <f t="shared" si="1"/>
        <v>0</v>
      </c>
      <c r="Z49" s="537">
        <f t="shared" si="1"/>
        <v>0</v>
      </c>
      <c r="AA49" s="537">
        <f t="shared" si="1"/>
        <v>0</v>
      </c>
      <c r="AB49" s="537">
        <f t="shared" si="1"/>
        <v>0</v>
      </c>
      <c r="AC49" s="537">
        <f t="shared" si="1"/>
        <v>0</v>
      </c>
      <c r="AD49" s="537">
        <f t="shared" si="1"/>
        <v>0</v>
      </c>
      <c r="AE49" s="537">
        <f t="shared" si="1"/>
        <v>1</v>
      </c>
      <c r="AF49" s="537">
        <f t="shared" si="1"/>
        <v>0</v>
      </c>
      <c r="AG49" s="537">
        <f t="shared" si="1"/>
        <v>0</v>
      </c>
      <c r="AH49" s="537">
        <f t="shared" si="1"/>
        <v>0</v>
      </c>
      <c r="AI49" s="537">
        <f t="shared" si="1"/>
        <v>0</v>
      </c>
      <c r="AJ49" s="537">
        <f t="shared" si="1"/>
        <v>0</v>
      </c>
      <c r="AK49" s="537">
        <f t="shared" si="1"/>
        <v>0</v>
      </c>
      <c r="AL49" s="537">
        <f t="shared" si="1"/>
        <v>0</v>
      </c>
      <c r="AM49" s="537">
        <f t="shared" si="1"/>
        <v>0</v>
      </c>
      <c r="AN49" s="537">
        <f t="shared" si="1"/>
        <v>0</v>
      </c>
      <c r="AO49" s="537">
        <f t="shared" si="1"/>
        <v>0</v>
      </c>
      <c r="AP49" s="537">
        <f t="shared" si="1"/>
        <v>0</v>
      </c>
      <c r="AQ49" s="537">
        <f t="shared" si="1"/>
        <v>0</v>
      </c>
      <c r="AR49" s="537">
        <f t="shared" si="1"/>
        <v>0</v>
      </c>
      <c r="AS49" s="537">
        <f t="shared" si="1"/>
        <v>0</v>
      </c>
      <c r="AT49" s="535">
        <f t="shared" si="1"/>
        <v>2</v>
      </c>
    </row>
    <row r="50" ht="17.25" customHeight="1">
      <c r="A50" s="26" t="s">
        <v>192</v>
      </c>
    </row>
    <row r="51" ht="11.25">
      <c r="A51" s="26" t="s">
        <v>448</v>
      </c>
    </row>
    <row r="60" ht="11.25">
      <c r="AV60" s="177"/>
    </row>
  </sheetData>
  <sheetProtection password="EA98" sheet="1" objects="1" scenarios="1" formatColumns="0" selectLockedCells="1"/>
  <mergeCells count="4">
    <mergeCell ref="C4:AS4"/>
    <mergeCell ref="C3:AS3"/>
    <mergeCell ref="AF2:AT2"/>
    <mergeCell ref="A1:AS1"/>
  </mergeCells>
  <printOptions horizontalCentered="1" verticalCentered="1"/>
  <pageMargins left="0" right="0" top="0.1968503937007874" bottom="0.17" header="0.2" footer="0.19"/>
  <pageSetup horizontalDpi="300" verticalDpi="3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W53"/>
  <sheetViews>
    <sheetView showGridLines="0" zoomScalePageLayoutView="0" workbookViewId="0" topLeftCell="A1">
      <pane xSplit="2" ySplit="6" topLeftCell="C7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P16" sqref="P16"/>
    </sheetView>
  </sheetViews>
  <sheetFormatPr defaultColWidth="10.66015625" defaultRowHeight="10.5"/>
  <cols>
    <col min="1" max="1" width="39.83203125" style="96" customWidth="1"/>
    <col min="2" max="2" width="10.66015625" style="106" customWidth="1"/>
    <col min="3" max="18" width="11.16015625" style="96" customWidth="1"/>
    <col min="19" max="19" width="6.66015625" style="96" customWidth="1"/>
    <col min="20" max="23" width="10.83203125" style="96" customWidth="1"/>
    <col min="24" max="16384" width="10.66015625" style="96" customWidth="1"/>
  </cols>
  <sheetData>
    <row r="1" spans="1:18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/>
      <c r="R1" s="370"/>
    </row>
    <row r="2" spans="1:18" s="5" customFormat="1" ht="30" customHeight="1" thickBot="1">
      <c r="A2" s="369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1397"/>
      <c r="O2" s="1397"/>
      <c r="P2" s="1397"/>
      <c r="Q2" s="1397"/>
      <c r="R2" s="1397"/>
    </row>
    <row r="3" spans="1:23" ht="15" customHeight="1" thickBot="1">
      <c r="A3" s="97"/>
      <c r="B3" s="98"/>
      <c r="C3" s="360" t="s">
        <v>270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100"/>
      <c r="T3"/>
      <c r="U3"/>
      <c r="V3"/>
      <c r="W3"/>
    </row>
    <row r="4" spans="1:23" ht="30" customHeight="1" thickTop="1">
      <c r="A4" s="332" t="s">
        <v>143</v>
      </c>
      <c r="B4" s="101" t="s">
        <v>74</v>
      </c>
      <c r="C4" s="1422" t="s">
        <v>660</v>
      </c>
      <c r="D4" s="1423"/>
      <c r="E4" s="1422" t="s">
        <v>661</v>
      </c>
      <c r="F4" s="1423"/>
      <c r="G4" s="1422" t="s">
        <v>662</v>
      </c>
      <c r="H4" s="1423"/>
      <c r="I4" s="1422" t="s">
        <v>53</v>
      </c>
      <c r="J4" s="1423"/>
      <c r="K4" s="1422" t="s">
        <v>54</v>
      </c>
      <c r="L4" s="1423"/>
      <c r="M4" s="1422" t="s">
        <v>666</v>
      </c>
      <c r="N4" s="1423"/>
      <c r="O4" s="1422" t="s">
        <v>103</v>
      </c>
      <c r="P4" s="1423"/>
      <c r="Q4" s="1422" t="s">
        <v>78</v>
      </c>
      <c r="R4" s="1426"/>
      <c r="T4"/>
      <c r="U4"/>
      <c r="V4"/>
      <c r="W4"/>
    </row>
    <row r="5" spans="1:23" ht="11.25">
      <c r="A5" s="1165"/>
      <c r="B5" s="101"/>
      <c r="C5" s="1424" t="s">
        <v>668</v>
      </c>
      <c r="D5" s="1425"/>
      <c r="E5" s="1424" t="s">
        <v>669</v>
      </c>
      <c r="F5" s="1425"/>
      <c r="G5" s="1424" t="s">
        <v>670</v>
      </c>
      <c r="H5" s="1425"/>
      <c r="I5" s="1424" t="s">
        <v>671</v>
      </c>
      <c r="J5" s="1425"/>
      <c r="K5" s="1424" t="s">
        <v>672</v>
      </c>
      <c r="L5" s="1425"/>
      <c r="M5" s="1424" t="s">
        <v>673</v>
      </c>
      <c r="N5" s="1425"/>
      <c r="O5" s="1424" t="s">
        <v>674</v>
      </c>
      <c r="P5" s="1425"/>
      <c r="Q5" s="1424"/>
      <c r="R5" s="1427"/>
      <c r="T5"/>
      <c r="U5"/>
      <c r="V5"/>
      <c r="W5"/>
    </row>
    <row r="6" spans="1:23" ht="12" thickBot="1">
      <c r="A6" s="102"/>
      <c r="B6" s="103"/>
      <c r="C6" s="1167" t="s">
        <v>76</v>
      </c>
      <c r="D6" s="1168" t="s">
        <v>77</v>
      </c>
      <c r="E6" s="1167" t="s">
        <v>76</v>
      </c>
      <c r="F6" s="1168" t="s">
        <v>77</v>
      </c>
      <c r="G6" s="1167" t="s">
        <v>76</v>
      </c>
      <c r="H6" s="1168" t="s">
        <v>77</v>
      </c>
      <c r="I6" s="1167" t="s">
        <v>76</v>
      </c>
      <c r="J6" s="1168" t="s">
        <v>77</v>
      </c>
      <c r="K6" s="1167" t="s">
        <v>76</v>
      </c>
      <c r="L6" s="1168" t="s">
        <v>77</v>
      </c>
      <c r="M6" s="1167" t="s">
        <v>76</v>
      </c>
      <c r="N6" s="1168" t="s">
        <v>77</v>
      </c>
      <c r="O6" s="1167" t="s">
        <v>76</v>
      </c>
      <c r="P6" s="1168" t="s">
        <v>77</v>
      </c>
      <c r="Q6" s="1167" t="s">
        <v>76</v>
      </c>
      <c r="R6" s="1169" t="s">
        <v>77</v>
      </c>
      <c r="T6"/>
      <c r="U6"/>
      <c r="V6"/>
      <c r="W6"/>
    </row>
    <row r="7" spans="1:23" ht="12.75" customHeight="1" thickTop="1">
      <c r="A7" s="25" t="str">
        <f>'t1'!A6</f>
        <v>SEGRETARIO A</v>
      </c>
      <c r="B7" s="257" t="str">
        <f>'t1'!B6</f>
        <v>0D0102</v>
      </c>
      <c r="C7" s="253"/>
      <c r="D7" s="258"/>
      <c r="E7" s="253"/>
      <c r="F7" s="258"/>
      <c r="G7" s="253"/>
      <c r="H7" s="258"/>
      <c r="I7" s="253"/>
      <c r="J7" s="258"/>
      <c r="K7" s="658"/>
      <c r="L7" s="252"/>
      <c r="M7" s="253"/>
      <c r="N7" s="258"/>
      <c r="O7" s="259"/>
      <c r="P7" s="258"/>
      <c r="Q7" s="538">
        <f>SUM(C7,E7,G7,I7,K7,M7,O7)</f>
        <v>0</v>
      </c>
      <c r="R7" s="539">
        <f>SUM(D7,F7,H7,J7,L7,N7,P7)</f>
        <v>0</v>
      </c>
      <c r="T7"/>
      <c r="U7"/>
      <c r="V7"/>
      <c r="W7"/>
    </row>
    <row r="8" spans="1:23" ht="12.75" customHeight="1">
      <c r="A8" s="168" t="str">
        <f>'t1'!A7</f>
        <v>SEGRETARIO B</v>
      </c>
      <c r="B8" s="249" t="str">
        <f>'t1'!B7</f>
        <v>0D0103</v>
      </c>
      <c r="C8" s="253"/>
      <c r="D8" s="258"/>
      <c r="E8" s="253"/>
      <c r="F8" s="258"/>
      <c r="G8" s="253"/>
      <c r="H8" s="258"/>
      <c r="I8" s="253"/>
      <c r="J8" s="258"/>
      <c r="K8" s="660"/>
      <c r="L8" s="252"/>
      <c r="M8" s="253"/>
      <c r="N8" s="258"/>
      <c r="O8" s="259"/>
      <c r="P8" s="258"/>
      <c r="Q8" s="540">
        <f aca="true" t="shared" si="0" ref="Q8:Q49">SUM(C8,E8,G8,I8,K8,M8,O8)</f>
        <v>0</v>
      </c>
      <c r="R8" s="541">
        <f aca="true" t="shared" si="1" ref="R8:R49">SUM(D8,F8,H8,J8,L8,N8,P8)</f>
        <v>0</v>
      </c>
      <c r="T8"/>
      <c r="U8"/>
      <c r="V8"/>
      <c r="W8"/>
    </row>
    <row r="9" spans="1:23" ht="12.75" customHeight="1">
      <c r="A9" s="168" t="str">
        <f>'t1'!A8</f>
        <v>SEGRETARIO C</v>
      </c>
      <c r="B9" s="249" t="str">
        <f>'t1'!B8</f>
        <v>0D0485</v>
      </c>
      <c r="C9" s="253"/>
      <c r="D9" s="258"/>
      <c r="E9" s="253"/>
      <c r="F9" s="258"/>
      <c r="G9" s="253"/>
      <c r="H9" s="258"/>
      <c r="I9" s="253"/>
      <c r="J9" s="258"/>
      <c r="K9" s="660"/>
      <c r="L9" s="252"/>
      <c r="M9" s="253"/>
      <c r="N9" s="258"/>
      <c r="O9" s="259"/>
      <c r="P9" s="258"/>
      <c r="Q9" s="540">
        <f t="shared" si="0"/>
        <v>0</v>
      </c>
      <c r="R9" s="541">
        <f t="shared" si="1"/>
        <v>0</v>
      </c>
      <c r="T9"/>
      <c r="U9"/>
      <c r="V9"/>
      <c r="W9"/>
    </row>
    <row r="10" spans="1:23" ht="12.75" customHeight="1">
      <c r="A10" s="168" t="str">
        <f>'t1'!A9</f>
        <v>SEGRETARIO GENERALE CCIAA</v>
      </c>
      <c r="B10" s="249" t="str">
        <f>'t1'!B9</f>
        <v>0D0104</v>
      </c>
      <c r="C10" s="253"/>
      <c r="D10" s="258"/>
      <c r="E10" s="253"/>
      <c r="F10" s="258"/>
      <c r="G10" s="253"/>
      <c r="H10" s="258"/>
      <c r="I10" s="253"/>
      <c r="J10" s="258"/>
      <c r="K10" s="660"/>
      <c r="L10" s="252"/>
      <c r="M10" s="253"/>
      <c r="N10" s="258"/>
      <c r="O10" s="259"/>
      <c r="P10" s="258"/>
      <c r="Q10" s="540">
        <f t="shared" si="0"/>
        <v>0</v>
      </c>
      <c r="R10" s="541">
        <f t="shared" si="1"/>
        <v>0</v>
      </c>
      <c r="T10"/>
      <c r="U10"/>
      <c r="V10"/>
      <c r="W10"/>
    </row>
    <row r="11" spans="1:23" ht="12.75" customHeight="1">
      <c r="A11" s="168" t="str">
        <f>'t1'!A10</f>
        <v>DIRETTORE  GENERALE</v>
      </c>
      <c r="B11" s="249" t="str">
        <f>'t1'!B10</f>
        <v>0D0097</v>
      </c>
      <c r="C11" s="253"/>
      <c r="D11" s="258"/>
      <c r="E11" s="253"/>
      <c r="F11" s="258"/>
      <c r="G11" s="253"/>
      <c r="H11" s="258"/>
      <c r="I11" s="253"/>
      <c r="J11" s="258"/>
      <c r="K11" s="660"/>
      <c r="L11" s="252"/>
      <c r="M11" s="253"/>
      <c r="N11" s="258"/>
      <c r="O11" s="259"/>
      <c r="P11" s="258"/>
      <c r="Q11" s="540">
        <f t="shared" si="0"/>
        <v>0</v>
      </c>
      <c r="R11" s="541">
        <f t="shared" si="1"/>
        <v>0</v>
      </c>
      <c r="T11"/>
      <c r="U11"/>
      <c r="V11"/>
      <c r="W11"/>
    </row>
    <row r="12" spans="1:23" ht="12.75" customHeight="1">
      <c r="A12" s="168" t="str">
        <f>'t1'!A11</f>
        <v>DIRIGENTE FUORI D.O.</v>
      </c>
      <c r="B12" s="249" t="str">
        <f>'t1'!B11</f>
        <v>0D0098</v>
      </c>
      <c r="C12" s="253"/>
      <c r="D12" s="258"/>
      <c r="E12" s="253"/>
      <c r="F12" s="258"/>
      <c r="G12" s="253"/>
      <c r="H12" s="258"/>
      <c r="I12" s="253"/>
      <c r="J12" s="258"/>
      <c r="K12" s="660"/>
      <c r="L12" s="252"/>
      <c r="M12" s="253"/>
      <c r="N12" s="258"/>
      <c r="O12" s="259"/>
      <c r="P12" s="258"/>
      <c r="Q12" s="540">
        <f t="shared" si="0"/>
        <v>0</v>
      </c>
      <c r="R12" s="541">
        <f t="shared" si="1"/>
        <v>0</v>
      </c>
      <c r="T12"/>
      <c r="U12"/>
      <c r="V12"/>
      <c r="W12"/>
    </row>
    <row r="13" spans="1:23" ht="12.75" customHeight="1">
      <c r="A13" s="168" t="str">
        <f>'t1'!A12</f>
        <v>ALTE SPECIALIZZ. FUORI D.O.</v>
      </c>
      <c r="B13" s="249" t="str">
        <f>'t1'!B12</f>
        <v>0D0095</v>
      </c>
      <c r="C13" s="253"/>
      <c r="D13" s="258"/>
      <c r="E13" s="253"/>
      <c r="F13" s="258"/>
      <c r="G13" s="253"/>
      <c r="H13" s="258"/>
      <c r="I13" s="253"/>
      <c r="J13" s="258"/>
      <c r="K13" s="660"/>
      <c r="L13" s="252"/>
      <c r="M13" s="253"/>
      <c r="N13" s="258"/>
      <c r="O13" s="259"/>
      <c r="P13" s="258"/>
      <c r="Q13" s="540">
        <f t="shared" si="0"/>
        <v>0</v>
      </c>
      <c r="R13" s="541">
        <f t="shared" si="1"/>
        <v>0</v>
      </c>
      <c r="T13"/>
      <c r="U13"/>
      <c r="V13"/>
      <c r="W13"/>
    </row>
    <row r="14" spans="1:23" ht="12.75" customHeight="1">
      <c r="A14" s="168" t="str">
        <f>'t1'!A13</f>
        <v>QUALIFICA DIRIGENZIALE TEMPO INDET.</v>
      </c>
      <c r="B14" s="249" t="str">
        <f>'t1'!B13</f>
        <v>0D0100</v>
      </c>
      <c r="C14" s="253"/>
      <c r="D14" s="258"/>
      <c r="E14" s="253">
        <v>1</v>
      </c>
      <c r="F14" s="258"/>
      <c r="G14" s="253"/>
      <c r="H14" s="258"/>
      <c r="I14" s="253"/>
      <c r="J14" s="258"/>
      <c r="K14" s="660"/>
      <c r="L14" s="252"/>
      <c r="M14" s="253"/>
      <c r="N14" s="258"/>
      <c r="O14" s="259"/>
      <c r="P14" s="258"/>
      <c r="Q14" s="540">
        <f t="shared" si="0"/>
        <v>1</v>
      </c>
      <c r="R14" s="541">
        <f t="shared" si="1"/>
        <v>0</v>
      </c>
      <c r="T14"/>
      <c r="U14"/>
      <c r="V14"/>
      <c r="W14"/>
    </row>
    <row r="15" spans="1:23" ht="12.75" customHeight="1">
      <c r="A15" s="168" t="str">
        <f>'t1'!A14</f>
        <v>QUALIFICA DIRIGENZIALE TEMPO DETER.</v>
      </c>
      <c r="B15" s="249" t="str">
        <f>'t1'!B14</f>
        <v>0D0099</v>
      </c>
      <c r="C15" s="253"/>
      <c r="D15" s="258"/>
      <c r="E15" s="253"/>
      <c r="F15" s="258"/>
      <c r="G15" s="253"/>
      <c r="H15" s="258"/>
      <c r="I15" s="253"/>
      <c r="J15" s="258"/>
      <c r="K15" s="660"/>
      <c r="L15" s="252"/>
      <c r="M15" s="253"/>
      <c r="N15" s="258"/>
      <c r="O15" s="259"/>
      <c r="P15" s="258"/>
      <c r="Q15" s="540">
        <f t="shared" si="0"/>
        <v>0</v>
      </c>
      <c r="R15" s="541">
        <f t="shared" si="1"/>
        <v>0</v>
      </c>
      <c r="T15"/>
      <c r="U15"/>
      <c r="V15"/>
      <c r="W15"/>
    </row>
    <row r="16" spans="1:23" ht="12.75" customHeight="1">
      <c r="A16" s="168" t="str">
        <f>'t1'!A15</f>
        <v>POSIZ. ECON. D6 - PROFILI ACCESSO D3</v>
      </c>
      <c r="B16" s="249" t="str">
        <f>'t1'!B15</f>
        <v>0D6A00</v>
      </c>
      <c r="C16" s="253"/>
      <c r="D16" s="258"/>
      <c r="E16" s="253"/>
      <c r="F16" s="258"/>
      <c r="G16" s="253"/>
      <c r="H16" s="258"/>
      <c r="I16" s="253"/>
      <c r="J16" s="258"/>
      <c r="K16" s="660"/>
      <c r="L16" s="252"/>
      <c r="M16" s="253"/>
      <c r="N16" s="258"/>
      <c r="O16" s="259">
        <v>1</v>
      </c>
      <c r="P16" s="258"/>
      <c r="Q16" s="540">
        <f t="shared" si="0"/>
        <v>1</v>
      </c>
      <c r="R16" s="541">
        <f t="shared" si="1"/>
        <v>0</v>
      </c>
      <c r="T16"/>
      <c r="U16"/>
      <c r="V16"/>
      <c r="W16"/>
    </row>
    <row r="17" spans="1:23" ht="12.75" customHeight="1">
      <c r="A17" s="168" t="str">
        <f>'t1'!A16</f>
        <v>POSIZ. ECON. D6 - PROFILO ACCESSO D1</v>
      </c>
      <c r="B17" s="249" t="str">
        <f>'t1'!B16</f>
        <v>0D6000</v>
      </c>
      <c r="C17" s="253"/>
      <c r="D17" s="258"/>
      <c r="E17" s="253"/>
      <c r="F17" s="258"/>
      <c r="G17" s="253"/>
      <c r="H17" s="258"/>
      <c r="I17" s="253"/>
      <c r="J17" s="258"/>
      <c r="K17" s="660"/>
      <c r="L17" s="252"/>
      <c r="M17" s="253"/>
      <c r="N17" s="258"/>
      <c r="O17" s="259"/>
      <c r="P17" s="258"/>
      <c r="Q17" s="540">
        <f t="shared" si="0"/>
        <v>0</v>
      </c>
      <c r="R17" s="541">
        <f t="shared" si="1"/>
        <v>0</v>
      </c>
      <c r="T17"/>
      <c r="U17"/>
      <c r="V17"/>
      <c r="W17"/>
    </row>
    <row r="18" spans="1:23" ht="12.75" customHeight="1">
      <c r="A18" s="168" t="str">
        <f>'t1'!A17</f>
        <v>POSIZ.ECON. D5 PROFILI ACCESSO D3</v>
      </c>
      <c r="B18" s="249" t="str">
        <f>'t1'!B17</f>
        <v>052486</v>
      </c>
      <c r="C18" s="253"/>
      <c r="D18" s="258"/>
      <c r="E18" s="253"/>
      <c r="F18" s="258"/>
      <c r="G18" s="253"/>
      <c r="H18" s="258"/>
      <c r="I18" s="253"/>
      <c r="J18" s="258"/>
      <c r="K18" s="660"/>
      <c r="L18" s="252"/>
      <c r="M18" s="253"/>
      <c r="N18" s="258"/>
      <c r="O18" s="259">
        <v>5</v>
      </c>
      <c r="P18" s="258"/>
      <c r="Q18" s="540">
        <f t="shared" si="0"/>
        <v>5</v>
      </c>
      <c r="R18" s="541">
        <f t="shared" si="1"/>
        <v>0</v>
      </c>
      <c r="T18"/>
      <c r="U18"/>
      <c r="V18"/>
      <c r="W18"/>
    </row>
    <row r="19" spans="1:23" ht="12.75" customHeight="1">
      <c r="A19" s="168" t="str">
        <f>'t1'!A18</f>
        <v>POSIZ.ECON. D5 PROFILI ACCESSO D1</v>
      </c>
      <c r="B19" s="249" t="str">
        <f>'t1'!B18</f>
        <v>052487</v>
      </c>
      <c r="C19" s="253"/>
      <c r="D19" s="258"/>
      <c r="E19" s="253"/>
      <c r="F19" s="258"/>
      <c r="G19" s="253"/>
      <c r="H19" s="258"/>
      <c r="I19" s="253"/>
      <c r="J19" s="258"/>
      <c r="K19" s="660"/>
      <c r="L19" s="252"/>
      <c r="M19" s="253"/>
      <c r="N19" s="258"/>
      <c r="O19" s="259"/>
      <c r="P19" s="258"/>
      <c r="Q19" s="540">
        <f t="shared" si="0"/>
        <v>0</v>
      </c>
      <c r="R19" s="541">
        <f t="shared" si="1"/>
        <v>0</v>
      </c>
      <c r="T19"/>
      <c r="U19"/>
      <c r="V19"/>
      <c r="W19"/>
    </row>
    <row r="20" spans="1:23" ht="12.75" customHeight="1">
      <c r="A20" s="168" t="str">
        <f>'t1'!A19</f>
        <v>POSIZ.ECON. D4 PROFILI ACCESSO D3</v>
      </c>
      <c r="B20" s="249" t="str">
        <f>'t1'!B19</f>
        <v>051488</v>
      </c>
      <c r="C20" s="253"/>
      <c r="D20" s="258"/>
      <c r="E20" s="253">
        <v>1</v>
      </c>
      <c r="F20" s="258"/>
      <c r="G20" s="253"/>
      <c r="H20" s="258"/>
      <c r="I20" s="253"/>
      <c r="J20" s="258"/>
      <c r="K20" s="660"/>
      <c r="L20" s="252"/>
      <c r="M20" s="253"/>
      <c r="N20" s="258"/>
      <c r="O20" s="259">
        <v>2</v>
      </c>
      <c r="P20" s="258"/>
      <c r="Q20" s="540">
        <f t="shared" si="0"/>
        <v>3</v>
      </c>
      <c r="R20" s="541">
        <f t="shared" si="1"/>
        <v>0</v>
      </c>
      <c r="T20"/>
      <c r="U20"/>
      <c r="V20"/>
      <c r="W20"/>
    </row>
    <row r="21" spans="1:23" ht="12.75" customHeight="1">
      <c r="A21" s="168" t="str">
        <f>'t1'!A20</f>
        <v>POSIZ.ECON. D4 PROFILI ACCESSO D1</v>
      </c>
      <c r="B21" s="249" t="str">
        <f>'t1'!B20</f>
        <v>051489</v>
      </c>
      <c r="C21" s="253"/>
      <c r="D21" s="258"/>
      <c r="E21" s="253"/>
      <c r="F21" s="258"/>
      <c r="G21" s="253"/>
      <c r="H21" s="258"/>
      <c r="I21" s="253"/>
      <c r="J21" s="258"/>
      <c r="K21" s="660"/>
      <c r="L21" s="252"/>
      <c r="M21" s="253"/>
      <c r="N21" s="258"/>
      <c r="O21" s="259"/>
      <c r="P21" s="258"/>
      <c r="Q21" s="540">
        <f t="shared" si="0"/>
        <v>0</v>
      </c>
      <c r="R21" s="541">
        <f t="shared" si="1"/>
        <v>0</v>
      </c>
      <c r="T21"/>
      <c r="U21"/>
      <c r="V21"/>
      <c r="W21"/>
    </row>
    <row r="22" spans="1:23" ht="12.75" customHeight="1">
      <c r="A22" s="168" t="str">
        <f>'t1'!A21</f>
        <v>POSIZIONE ECONOMICA DI ACCESSO D3</v>
      </c>
      <c r="B22" s="249" t="str">
        <f>'t1'!B21</f>
        <v>058000</v>
      </c>
      <c r="C22" s="253"/>
      <c r="D22" s="258"/>
      <c r="E22" s="253"/>
      <c r="F22" s="258"/>
      <c r="G22" s="253"/>
      <c r="H22" s="258"/>
      <c r="I22" s="253"/>
      <c r="J22" s="258"/>
      <c r="K22" s="660"/>
      <c r="L22" s="252"/>
      <c r="M22" s="253"/>
      <c r="N22" s="258"/>
      <c r="O22" s="259">
        <v>1</v>
      </c>
      <c r="P22" s="258"/>
      <c r="Q22" s="540">
        <f t="shared" si="0"/>
        <v>1</v>
      </c>
      <c r="R22" s="541">
        <f t="shared" si="1"/>
        <v>0</v>
      </c>
      <c r="T22"/>
      <c r="U22"/>
      <c r="V22"/>
      <c r="W22"/>
    </row>
    <row r="23" spans="1:23" ht="12.75" customHeight="1">
      <c r="A23" s="168" t="str">
        <f>'t1'!A22</f>
        <v>POSIZIONE ECONOMICA D3</v>
      </c>
      <c r="B23" s="249" t="str">
        <f>'t1'!B22</f>
        <v>050000</v>
      </c>
      <c r="C23" s="253"/>
      <c r="D23" s="258"/>
      <c r="E23" s="253"/>
      <c r="F23" s="258"/>
      <c r="G23" s="253"/>
      <c r="H23" s="258"/>
      <c r="I23" s="253"/>
      <c r="J23" s="258"/>
      <c r="K23" s="660"/>
      <c r="L23" s="252"/>
      <c r="M23" s="253"/>
      <c r="N23" s="258"/>
      <c r="O23" s="259"/>
      <c r="P23" s="258"/>
      <c r="Q23" s="540">
        <f t="shared" si="0"/>
        <v>0</v>
      </c>
      <c r="R23" s="541">
        <f t="shared" si="1"/>
        <v>0</v>
      </c>
      <c r="T23"/>
      <c r="U23"/>
      <c r="V23"/>
      <c r="W23"/>
    </row>
    <row r="24" spans="1:23" ht="12.75" customHeight="1">
      <c r="A24" s="168" t="str">
        <f>'t1'!A23</f>
        <v>POSIZIONE ECONOMICA D2</v>
      </c>
      <c r="B24" s="249" t="str">
        <f>'t1'!B23</f>
        <v>049000</v>
      </c>
      <c r="C24" s="253"/>
      <c r="D24" s="258"/>
      <c r="E24" s="253"/>
      <c r="F24" s="258"/>
      <c r="G24" s="253"/>
      <c r="H24" s="258"/>
      <c r="I24" s="253"/>
      <c r="J24" s="258"/>
      <c r="K24" s="660"/>
      <c r="L24" s="252"/>
      <c r="M24" s="253"/>
      <c r="N24" s="258"/>
      <c r="O24" s="259"/>
      <c r="P24" s="258"/>
      <c r="Q24" s="540">
        <f t="shared" si="0"/>
        <v>0</v>
      </c>
      <c r="R24" s="541">
        <f t="shared" si="1"/>
        <v>0</v>
      </c>
      <c r="T24"/>
      <c r="U24"/>
      <c r="V24"/>
      <c r="W24"/>
    </row>
    <row r="25" spans="1:23" ht="12.75" customHeight="1">
      <c r="A25" s="168" t="str">
        <f>'t1'!A24</f>
        <v>POSIZIONE ECONOMICA DI ACCESSO D1</v>
      </c>
      <c r="B25" s="249" t="str">
        <f>'t1'!B24</f>
        <v>057000</v>
      </c>
      <c r="C25" s="253"/>
      <c r="D25" s="258"/>
      <c r="E25" s="253"/>
      <c r="F25" s="258"/>
      <c r="G25" s="253"/>
      <c r="H25" s="258"/>
      <c r="I25" s="253"/>
      <c r="J25" s="258"/>
      <c r="K25" s="660"/>
      <c r="L25" s="252"/>
      <c r="M25" s="253"/>
      <c r="N25" s="258"/>
      <c r="O25" s="259"/>
      <c r="P25" s="258"/>
      <c r="Q25" s="540">
        <f t="shared" si="0"/>
        <v>0</v>
      </c>
      <c r="R25" s="541">
        <f t="shared" si="1"/>
        <v>0</v>
      </c>
      <c r="T25"/>
      <c r="U25"/>
      <c r="V25"/>
      <c r="W25"/>
    </row>
    <row r="26" spans="1:23" ht="12.75" customHeight="1">
      <c r="A26" s="168" t="str">
        <f>'t1'!A25</f>
        <v>POSIZIONE ECONOMICA C5</v>
      </c>
      <c r="B26" s="249" t="str">
        <f>'t1'!B25</f>
        <v>046000</v>
      </c>
      <c r="C26" s="253"/>
      <c r="D26" s="258"/>
      <c r="E26" s="253"/>
      <c r="F26" s="258"/>
      <c r="G26" s="253"/>
      <c r="H26" s="258"/>
      <c r="I26" s="253"/>
      <c r="J26" s="258"/>
      <c r="K26" s="660"/>
      <c r="L26" s="252"/>
      <c r="M26" s="253"/>
      <c r="N26" s="258"/>
      <c r="O26" s="259"/>
      <c r="P26" s="258">
        <v>1</v>
      </c>
      <c r="Q26" s="540">
        <f t="shared" si="0"/>
        <v>0</v>
      </c>
      <c r="R26" s="541">
        <f t="shared" si="1"/>
        <v>1</v>
      </c>
      <c r="T26"/>
      <c r="U26"/>
      <c r="V26"/>
      <c r="W26"/>
    </row>
    <row r="27" spans="1:23" ht="12.75" customHeight="1">
      <c r="A27" s="168" t="str">
        <f>'t1'!A26</f>
        <v>POSIZIONE ECONOMICA C4</v>
      </c>
      <c r="B27" s="249" t="str">
        <f>'t1'!B26</f>
        <v>045000</v>
      </c>
      <c r="C27" s="253"/>
      <c r="D27" s="258"/>
      <c r="E27" s="253"/>
      <c r="F27" s="258"/>
      <c r="G27" s="253"/>
      <c r="H27" s="258"/>
      <c r="I27" s="253"/>
      <c r="J27" s="258"/>
      <c r="K27" s="660"/>
      <c r="L27" s="252"/>
      <c r="M27" s="253"/>
      <c r="N27" s="258"/>
      <c r="O27" s="259"/>
      <c r="P27" s="258"/>
      <c r="Q27" s="540">
        <f t="shared" si="0"/>
        <v>0</v>
      </c>
      <c r="R27" s="541">
        <f t="shared" si="1"/>
        <v>0</v>
      </c>
      <c r="T27"/>
      <c r="U27"/>
      <c r="V27"/>
      <c r="W27"/>
    </row>
    <row r="28" spans="1:23" ht="12.75" customHeight="1">
      <c r="A28" s="168" t="str">
        <f>'t1'!A27</f>
        <v>POSIZIONE ECONOMICA C3</v>
      </c>
      <c r="B28" s="249" t="str">
        <f>'t1'!B27</f>
        <v>043000</v>
      </c>
      <c r="C28" s="253"/>
      <c r="D28" s="258"/>
      <c r="E28" s="253"/>
      <c r="F28" s="258"/>
      <c r="G28" s="253"/>
      <c r="H28" s="258"/>
      <c r="I28" s="253"/>
      <c r="J28" s="258"/>
      <c r="K28" s="660"/>
      <c r="L28" s="252"/>
      <c r="M28" s="253"/>
      <c r="N28" s="258"/>
      <c r="O28" s="259"/>
      <c r="P28" s="258"/>
      <c r="Q28" s="540">
        <f t="shared" si="0"/>
        <v>0</v>
      </c>
      <c r="R28" s="541">
        <f t="shared" si="1"/>
        <v>0</v>
      </c>
      <c r="T28"/>
      <c r="U28"/>
      <c r="V28"/>
      <c r="W28"/>
    </row>
    <row r="29" spans="1:23" ht="12.75" customHeight="1">
      <c r="A29" s="168" t="str">
        <f>'t1'!A28</f>
        <v>POSIZIONE ECONOMICA C2</v>
      </c>
      <c r="B29" s="249" t="str">
        <f>'t1'!B28</f>
        <v>042000</v>
      </c>
      <c r="C29" s="253"/>
      <c r="D29" s="258"/>
      <c r="E29" s="253"/>
      <c r="F29" s="258"/>
      <c r="G29" s="253"/>
      <c r="H29" s="258"/>
      <c r="I29" s="253"/>
      <c r="J29" s="258"/>
      <c r="K29" s="660"/>
      <c r="L29" s="252"/>
      <c r="M29" s="253"/>
      <c r="N29" s="258"/>
      <c r="O29" s="259"/>
      <c r="P29" s="258"/>
      <c r="Q29" s="540">
        <f t="shared" si="0"/>
        <v>0</v>
      </c>
      <c r="R29" s="541">
        <f t="shared" si="1"/>
        <v>0</v>
      </c>
      <c r="T29"/>
      <c r="U29"/>
      <c r="V29"/>
      <c r="W29"/>
    </row>
    <row r="30" spans="1:23" ht="12.75" customHeight="1">
      <c r="A30" s="168" t="str">
        <f>'t1'!A29</f>
        <v>POSIZIONE ECONOMICA DI ACCESSO C1</v>
      </c>
      <c r="B30" s="249" t="str">
        <f>'t1'!B29</f>
        <v>056000</v>
      </c>
      <c r="C30" s="253">
        <v>1</v>
      </c>
      <c r="D30" s="258"/>
      <c r="E30" s="253"/>
      <c r="F30" s="258"/>
      <c r="G30" s="253"/>
      <c r="H30" s="258"/>
      <c r="I30" s="253"/>
      <c r="J30" s="258"/>
      <c r="K30" s="660"/>
      <c r="L30" s="252"/>
      <c r="M30" s="253"/>
      <c r="N30" s="258"/>
      <c r="O30" s="259"/>
      <c r="P30" s="258"/>
      <c r="Q30" s="540">
        <f t="shared" si="0"/>
        <v>1</v>
      </c>
      <c r="R30" s="541">
        <f t="shared" si="1"/>
        <v>0</v>
      </c>
      <c r="T30"/>
      <c r="U30"/>
      <c r="V30"/>
      <c r="W30"/>
    </row>
    <row r="31" spans="1:23" ht="12.75" customHeight="1">
      <c r="A31" s="168" t="str">
        <f>'t1'!A30</f>
        <v>POSIZ. ECON. B7 - PROFILO ACCESSO B3</v>
      </c>
      <c r="B31" s="249" t="str">
        <f>'t1'!B30</f>
        <v>0B7A00</v>
      </c>
      <c r="C31" s="253"/>
      <c r="D31" s="258"/>
      <c r="E31" s="253"/>
      <c r="F31" s="258"/>
      <c r="G31" s="253"/>
      <c r="H31" s="258"/>
      <c r="I31" s="260"/>
      <c r="J31" s="258"/>
      <c r="K31" s="660"/>
      <c r="L31" s="252"/>
      <c r="M31" s="253"/>
      <c r="N31" s="258"/>
      <c r="O31" s="259"/>
      <c r="P31" s="258"/>
      <c r="Q31" s="540">
        <f t="shared" si="0"/>
        <v>0</v>
      </c>
      <c r="R31" s="541">
        <f t="shared" si="1"/>
        <v>0</v>
      </c>
      <c r="T31"/>
      <c r="U31"/>
      <c r="V31"/>
      <c r="W31"/>
    </row>
    <row r="32" spans="1:23" ht="12.75" customHeight="1">
      <c r="A32" s="168" t="str">
        <f>'t1'!A31</f>
        <v>POSIZ. ECON. B7 - PROFILO  ACCESSO B1</v>
      </c>
      <c r="B32" s="249" t="str">
        <f>'t1'!B31</f>
        <v>0B7000</v>
      </c>
      <c r="C32" s="253"/>
      <c r="D32" s="258"/>
      <c r="E32" s="253"/>
      <c r="F32" s="258"/>
      <c r="G32" s="253"/>
      <c r="H32" s="258"/>
      <c r="I32" s="261"/>
      <c r="J32" s="258"/>
      <c r="K32" s="660"/>
      <c r="L32" s="252"/>
      <c r="M32" s="253"/>
      <c r="N32" s="258"/>
      <c r="O32" s="259"/>
      <c r="P32" s="258"/>
      <c r="Q32" s="540">
        <f t="shared" si="0"/>
        <v>0</v>
      </c>
      <c r="R32" s="541">
        <f t="shared" si="1"/>
        <v>0</v>
      </c>
      <c r="T32"/>
      <c r="U32"/>
      <c r="V32"/>
      <c r="W32"/>
    </row>
    <row r="33" spans="1:23" ht="12.75" customHeight="1">
      <c r="A33" s="168" t="str">
        <f>'t1'!A32</f>
        <v>POSIZ.ECON. B6 PROFILI ACCESSO B3</v>
      </c>
      <c r="B33" s="249" t="str">
        <f>'t1'!B32</f>
        <v>038490</v>
      </c>
      <c r="C33" s="253"/>
      <c r="D33" s="258"/>
      <c r="E33" s="253"/>
      <c r="F33" s="258"/>
      <c r="G33" s="253"/>
      <c r="H33" s="258"/>
      <c r="I33" s="253"/>
      <c r="J33" s="258"/>
      <c r="K33" s="660"/>
      <c r="L33" s="252"/>
      <c r="M33" s="253"/>
      <c r="N33" s="258"/>
      <c r="O33" s="259"/>
      <c r="P33" s="258"/>
      <c r="Q33" s="540">
        <f t="shared" si="0"/>
        <v>0</v>
      </c>
      <c r="R33" s="541">
        <f t="shared" si="1"/>
        <v>0</v>
      </c>
      <c r="T33"/>
      <c r="U33"/>
      <c r="V33"/>
      <c r="W33"/>
    </row>
    <row r="34" spans="1:23" ht="12.75" customHeight="1">
      <c r="A34" s="168" t="str">
        <f>'t1'!A33</f>
        <v>POSIZ.ECON. B6 PROFILI ACCESSO B1</v>
      </c>
      <c r="B34" s="249" t="str">
        <f>'t1'!B33</f>
        <v>038491</v>
      </c>
      <c r="C34" s="253"/>
      <c r="D34" s="258"/>
      <c r="E34" s="253"/>
      <c r="F34" s="258"/>
      <c r="G34" s="253"/>
      <c r="H34" s="258"/>
      <c r="I34" s="253"/>
      <c r="J34" s="258"/>
      <c r="K34" s="660"/>
      <c r="L34" s="252"/>
      <c r="M34" s="253"/>
      <c r="N34" s="258"/>
      <c r="O34" s="259"/>
      <c r="P34" s="258"/>
      <c r="Q34" s="540">
        <f t="shared" si="0"/>
        <v>0</v>
      </c>
      <c r="R34" s="541">
        <f t="shared" si="1"/>
        <v>0</v>
      </c>
      <c r="T34"/>
      <c r="U34"/>
      <c r="V34"/>
      <c r="W34"/>
    </row>
    <row r="35" spans="1:23" ht="12.75" customHeight="1">
      <c r="A35" s="168" t="str">
        <f>'t1'!A34</f>
        <v>POSIZ.ECON. B5 PROFILI ACCESSO B3</v>
      </c>
      <c r="B35" s="249" t="str">
        <f>'t1'!B34</f>
        <v>037492</v>
      </c>
      <c r="C35" s="253"/>
      <c r="D35" s="258"/>
      <c r="E35" s="253"/>
      <c r="F35" s="258"/>
      <c r="G35" s="253"/>
      <c r="H35" s="258"/>
      <c r="I35" s="253"/>
      <c r="J35" s="258"/>
      <c r="K35" s="660"/>
      <c r="L35" s="252"/>
      <c r="M35" s="253"/>
      <c r="N35" s="258"/>
      <c r="O35" s="259"/>
      <c r="P35" s="258"/>
      <c r="Q35" s="540">
        <f t="shared" si="0"/>
        <v>0</v>
      </c>
      <c r="R35" s="541">
        <f t="shared" si="1"/>
        <v>0</v>
      </c>
      <c r="T35"/>
      <c r="U35"/>
      <c r="V35"/>
      <c r="W35"/>
    </row>
    <row r="36" spans="1:23" ht="12.75" customHeight="1">
      <c r="A36" s="168" t="str">
        <f>'t1'!A35</f>
        <v>POSIZ.ECON. B5 PROFILI ACCESSO B1</v>
      </c>
      <c r="B36" s="249" t="str">
        <f>'t1'!B35</f>
        <v>037493</v>
      </c>
      <c r="C36" s="253"/>
      <c r="D36" s="258"/>
      <c r="E36" s="253"/>
      <c r="F36" s="258"/>
      <c r="G36" s="253"/>
      <c r="H36" s="258"/>
      <c r="I36" s="253"/>
      <c r="J36" s="258"/>
      <c r="K36" s="660"/>
      <c r="L36" s="252"/>
      <c r="M36" s="253"/>
      <c r="N36" s="258"/>
      <c r="O36" s="259"/>
      <c r="P36" s="258"/>
      <c r="Q36" s="540">
        <f t="shared" si="0"/>
        <v>0</v>
      </c>
      <c r="R36" s="541">
        <f t="shared" si="1"/>
        <v>0</v>
      </c>
      <c r="T36"/>
      <c r="U36"/>
      <c r="V36"/>
      <c r="W36"/>
    </row>
    <row r="37" spans="1:23" ht="12.75" customHeight="1">
      <c r="A37" s="168" t="str">
        <f>'t1'!A36</f>
        <v>POSIZ.ECON. B4 PROFILI ACCESSO B3</v>
      </c>
      <c r="B37" s="249" t="str">
        <f>'t1'!B36</f>
        <v>036494</v>
      </c>
      <c r="C37" s="253"/>
      <c r="D37" s="258"/>
      <c r="E37" s="253"/>
      <c r="F37" s="258"/>
      <c r="G37" s="253"/>
      <c r="H37" s="258"/>
      <c r="I37" s="253"/>
      <c r="J37" s="258"/>
      <c r="K37" s="660"/>
      <c r="L37" s="252"/>
      <c r="M37" s="253"/>
      <c r="N37" s="258"/>
      <c r="O37" s="259"/>
      <c r="P37" s="258"/>
      <c r="Q37" s="540">
        <f t="shared" si="0"/>
        <v>0</v>
      </c>
      <c r="R37" s="541">
        <f t="shared" si="1"/>
        <v>0</v>
      </c>
      <c r="T37"/>
      <c r="U37"/>
      <c r="V37"/>
      <c r="W37"/>
    </row>
    <row r="38" spans="1:23" ht="12.75" customHeight="1">
      <c r="A38" s="168" t="str">
        <f>'t1'!A37</f>
        <v>POSIZ.ECON. B4 PROFILI ACCESSO B1</v>
      </c>
      <c r="B38" s="249" t="str">
        <f>'t1'!B37</f>
        <v>036495</v>
      </c>
      <c r="C38" s="253"/>
      <c r="D38" s="258"/>
      <c r="E38" s="253"/>
      <c r="F38" s="258"/>
      <c r="G38" s="253"/>
      <c r="H38" s="258"/>
      <c r="I38" s="253"/>
      <c r="J38" s="258"/>
      <c r="K38" s="660"/>
      <c r="L38" s="252"/>
      <c r="M38" s="253"/>
      <c r="N38" s="258"/>
      <c r="O38" s="259"/>
      <c r="P38" s="258"/>
      <c r="Q38" s="540">
        <f t="shared" si="0"/>
        <v>0</v>
      </c>
      <c r="R38" s="541">
        <f t="shared" si="1"/>
        <v>0</v>
      </c>
      <c r="T38"/>
      <c r="U38"/>
      <c r="V38"/>
      <c r="W38"/>
    </row>
    <row r="39" spans="1:23" ht="12.75" customHeight="1">
      <c r="A39" s="168" t="str">
        <f>'t1'!A38</f>
        <v>POSIZIONE ECONOMICA DI ACCESSO B3</v>
      </c>
      <c r="B39" s="249" t="str">
        <f>'t1'!B38</f>
        <v>055000</v>
      </c>
      <c r="C39" s="253"/>
      <c r="D39" s="258"/>
      <c r="E39" s="253">
        <v>1</v>
      </c>
      <c r="F39" s="258"/>
      <c r="G39" s="253"/>
      <c r="H39" s="258"/>
      <c r="I39" s="253"/>
      <c r="J39" s="258"/>
      <c r="K39" s="660"/>
      <c r="L39" s="252"/>
      <c r="M39" s="253"/>
      <c r="N39" s="258"/>
      <c r="O39" s="259"/>
      <c r="P39" s="258"/>
      <c r="Q39" s="540">
        <f t="shared" si="0"/>
        <v>1</v>
      </c>
      <c r="R39" s="541">
        <f t="shared" si="1"/>
        <v>0</v>
      </c>
      <c r="T39"/>
      <c r="U39"/>
      <c r="V39"/>
      <c r="W39"/>
    </row>
    <row r="40" spans="1:23" ht="12.75" customHeight="1">
      <c r="A40" s="168" t="str">
        <f>'t1'!A39</f>
        <v>POSIZIONE ECONOMICA B3</v>
      </c>
      <c r="B40" s="249" t="str">
        <f>'t1'!B39</f>
        <v>034000</v>
      </c>
      <c r="C40" s="253"/>
      <c r="D40" s="258"/>
      <c r="E40" s="253"/>
      <c r="F40" s="258"/>
      <c r="G40" s="253"/>
      <c r="H40" s="258"/>
      <c r="I40" s="253"/>
      <c r="J40" s="258"/>
      <c r="K40" s="660"/>
      <c r="L40" s="252"/>
      <c r="M40" s="253"/>
      <c r="N40" s="258"/>
      <c r="O40" s="259"/>
      <c r="P40" s="258"/>
      <c r="Q40" s="540">
        <f t="shared" si="0"/>
        <v>0</v>
      </c>
      <c r="R40" s="541">
        <f t="shared" si="1"/>
        <v>0</v>
      </c>
      <c r="T40"/>
      <c r="U40"/>
      <c r="V40"/>
      <c r="W40"/>
    </row>
    <row r="41" spans="1:23" ht="12.75" customHeight="1">
      <c r="A41" s="168" t="str">
        <f>'t1'!A40</f>
        <v>POSIZIONE ECONOMICA B2</v>
      </c>
      <c r="B41" s="249" t="str">
        <f>'t1'!B40</f>
        <v>032000</v>
      </c>
      <c r="C41" s="253"/>
      <c r="D41" s="258"/>
      <c r="E41" s="253"/>
      <c r="F41" s="258"/>
      <c r="G41" s="253"/>
      <c r="H41" s="258"/>
      <c r="I41" s="253"/>
      <c r="J41" s="258"/>
      <c r="K41" s="660"/>
      <c r="L41" s="252"/>
      <c r="M41" s="253"/>
      <c r="N41" s="258"/>
      <c r="O41" s="259"/>
      <c r="P41" s="258"/>
      <c r="Q41" s="540">
        <f t="shared" si="0"/>
        <v>0</v>
      </c>
      <c r="R41" s="541">
        <f t="shared" si="1"/>
        <v>0</v>
      </c>
      <c r="T41"/>
      <c r="U41"/>
      <c r="V41"/>
      <c r="W41"/>
    </row>
    <row r="42" spans="1:23" ht="12.75" customHeight="1">
      <c r="A42" s="168" t="str">
        <f>'t1'!A41</f>
        <v>POSIZIONE ECONOMICA DI ACCESSO B1</v>
      </c>
      <c r="B42" s="249" t="str">
        <f>'t1'!B41</f>
        <v>054000</v>
      </c>
      <c r="C42" s="253"/>
      <c r="D42" s="258"/>
      <c r="E42" s="253"/>
      <c r="F42" s="258"/>
      <c r="G42" s="253"/>
      <c r="H42" s="258"/>
      <c r="I42" s="253"/>
      <c r="J42" s="258"/>
      <c r="K42" s="660"/>
      <c r="L42" s="252"/>
      <c r="M42" s="253"/>
      <c r="N42" s="258"/>
      <c r="O42" s="259"/>
      <c r="P42" s="258"/>
      <c r="Q42" s="540">
        <f t="shared" si="0"/>
        <v>0</v>
      </c>
      <c r="R42" s="541">
        <f t="shared" si="1"/>
        <v>0</v>
      </c>
      <c r="T42"/>
      <c r="U42"/>
      <c r="V42"/>
      <c r="W42"/>
    </row>
    <row r="43" spans="1:23" ht="12.75" customHeight="1">
      <c r="A43" s="168" t="str">
        <f>'t1'!A42</f>
        <v>POSIZIONE ECONOMICA A5</v>
      </c>
      <c r="B43" s="249" t="str">
        <f>'t1'!B42</f>
        <v>0A5000</v>
      </c>
      <c r="C43" s="253"/>
      <c r="D43" s="258"/>
      <c r="E43" s="253"/>
      <c r="F43" s="258"/>
      <c r="G43" s="253"/>
      <c r="H43" s="258"/>
      <c r="I43" s="253"/>
      <c r="J43" s="258"/>
      <c r="K43" s="660"/>
      <c r="L43" s="252"/>
      <c r="M43" s="253"/>
      <c r="N43" s="258"/>
      <c r="O43" s="259"/>
      <c r="P43" s="258"/>
      <c r="Q43" s="540">
        <f t="shared" si="0"/>
        <v>0</v>
      </c>
      <c r="R43" s="541">
        <f t="shared" si="1"/>
        <v>0</v>
      </c>
      <c r="T43"/>
      <c r="U43"/>
      <c r="V43"/>
      <c r="W43"/>
    </row>
    <row r="44" spans="1:23" ht="12.75" customHeight="1">
      <c r="A44" s="168" t="str">
        <f>'t1'!A43</f>
        <v>POSIZIONE ECONOMICA A4</v>
      </c>
      <c r="B44" s="249" t="str">
        <f>'t1'!B43</f>
        <v>028000</v>
      </c>
      <c r="C44" s="253"/>
      <c r="D44" s="258"/>
      <c r="E44" s="253"/>
      <c r="F44" s="258"/>
      <c r="G44" s="253"/>
      <c r="H44" s="258"/>
      <c r="I44" s="253"/>
      <c r="J44" s="258"/>
      <c r="K44" s="660"/>
      <c r="L44" s="252"/>
      <c r="M44" s="253"/>
      <c r="N44" s="258"/>
      <c r="O44" s="259"/>
      <c r="P44" s="258"/>
      <c r="Q44" s="540">
        <f t="shared" si="0"/>
        <v>0</v>
      </c>
      <c r="R44" s="541">
        <f t="shared" si="1"/>
        <v>0</v>
      </c>
      <c r="T44"/>
      <c r="U44"/>
      <c r="V44"/>
      <c r="W44"/>
    </row>
    <row r="45" spans="1:23" ht="12.75" customHeight="1">
      <c r="A45" s="168" t="str">
        <f>'t1'!A44</f>
        <v>POSIZIONE ECONOMICA A3</v>
      </c>
      <c r="B45" s="249" t="str">
        <f>'t1'!B44</f>
        <v>027000</v>
      </c>
      <c r="C45" s="253"/>
      <c r="D45" s="258"/>
      <c r="E45" s="253"/>
      <c r="F45" s="258"/>
      <c r="G45" s="253"/>
      <c r="H45" s="258"/>
      <c r="I45" s="253"/>
      <c r="J45" s="258"/>
      <c r="K45" s="660"/>
      <c r="L45" s="252"/>
      <c r="M45" s="253"/>
      <c r="N45" s="258"/>
      <c r="O45" s="259"/>
      <c r="P45" s="258"/>
      <c r="Q45" s="540">
        <f t="shared" si="0"/>
        <v>0</v>
      </c>
      <c r="R45" s="541">
        <f t="shared" si="1"/>
        <v>0</v>
      </c>
      <c r="T45"/>
      <c r="U45"/>
      <c r="V45"/>
      <c r="W45"/>
    </row>
    <row r="46" spans="1:23" ht="12.75" customHeight="1">
      <c r="A46" s="168" t="str">
        <f>'t1'!A45</f>
        <v>POSIZIONE ECONOMICA A2</v>
      </c>
      <c r="B46" s="249" t="str">
        <f>'t1'!B45</f>
        <v>025000</v>
      </c>
      <c r="C46" s="253"/>
      <c r="D46" s="258"/>
      <c r="E46" s="253"/>
      <c r="F46" s="258"/>
      <c r="G46" s="253"/>
      <c r="H46" s="258"/>
      <c r="I46" s="253"/>
      <c r="J46" s="258"/>
      <c r="K46" s="660"/>
      <c r="L46" s="252"/>
      <c r="M46" s="253"/>
      <c r="N46" s="258"/>
      <c r="O46" s="259"/>
      <c r="P46" s="258"/>
      <c r="Q46" s="540">
        <f t="shared" si="0"/>
        <v>0</v>
      </c>
      <c r="R46" s="541">
        <f t="shared" si="1"/>
        <v>0</v>
      </c>
      <c r="T46"/>
      <c r="U46"/>
      <c r="V46"/>
      <c r="W46"/>
    </row>
    <row r="47" spans="1:23" ht="12.75" customHeight="1">
      <c r="A47" s="168" t="str">
        <f>'t1'!A46</f>
        <v>POSIZIONE ECONOMICA DI ACCESSO A1</v>
      </c>
      <c r="B47" s="249" t="str">
        <f>'t1'!B46</f>
        <v>053000</v>
      </c>
      <c r="C47" s="253"/>
      <c r="D47" s="258"/>
      <c r="E47" s="253"/>
      <c r="F47" s="258"/>
      <c r="G47" s="253"/>
      <c r="H47" s="258"/>
      <c r="I47" s="253"/>
      <c r="J47" s="258"/>
      <c r="K47" s="660"/>
      <c r="L47" s="252"/>
      <c r="M47" s="253"/>
      <c r="N47" s="258"/>
      <c r="O47" s="259"/>
      <c r="P47" s="258"/>
      <c r="Q47" s="540">
        <f t="shared" si="0"/>
        <v>0</v>
      </c>
      <c r="R47" s="541">
        <f t="shared" si="1"/>
        <v>0</v>
      </c>
      <c r="T47"/>
      <c r="U47"/>
      <c r="V47"/>
      <c r="W47"/>
    </row>
    <row r="48" spans="1:23" ht="12.75" customHeight="1">
      <c r="A48" s="168" t="str">
        <f>'t1'!A47</f>
        <v>CONTRATTISTI (a)</v>
      </c>
      <c r="B48" s="249" t="str">
        <f>'t1'!B47</f>
        <v>000061</v>
      </c>
      <c r="C48" s="253"/>
      <c r="D48" s="258"/>
      <c r="E48" s="253"/>
      <c r="F48" s="258"/>
      <c r="G48" s="253"/>
      <c r="H48" s="258"/>
      <c r="I48" s="253"/>
      <c r="J48" s="258"/>
      <c r="K48" s="660"/>
      <c r="L48" s="252"/>
      <c r="M48" s="253"/>
      <c r="N48" s="258"/>
      <c r="O48" s="259"/>
      <c r="P48" s="258"/>
      <c r="Q48" s="540">
        <f t="shared" si="0"/>
        <v>0</v>
      </c>
      <c r="R48" s="541">
        <f t="shared" si="1"/>
        <v>0</v>
      </c>
      <c r="T48"/>
      <c r="U48"/>
      <c r="V48"/>
      <c r="W48"/>
    </row>
    <row r="49" spans="1:23" ht="12.75" customHeight="1" thickBot="1">
      <c r="A49" s="168" t="str">
        <f>'t1'!A48</f>
        <v>COLLABORATORE A TEMPO DETERMIN. (b)</v>
      </c>
      <c r="B49" s="249" t="str">
        <f>'t1'!B48</f>
        <v>000096</v>
      </c>
      <c r="C49" s="253"/>
      <c r="D49" s="258"/>
      <c r="E49" s="253"/>
      <c r="F49" s="258"/>
      <c r="G49" s="253"/>
      <c r="H49" s="258"/>
      <c r="I49" s="253"/>
      <c r="J49" s="258"/>
      <c r="K49" s="660"/>
      <c r="L49" s="252"/>
      <c r="M49" s="253"/>
      <c r="N49" s="258"/>
      <c r="O49" s="259"/>
      <c r="P49" s="258"/>
      <c r="Q49" s="679">
        <f t="shared" si="0"/>
        <v>0</v>
      </c>
      <c r="R49" s="680">
        <f t="shared" si="1"/>
        <v>0</v>
      </c>
      <c r="T49"/>
      <c r="U49"/>
      <c r="V49"/>
      <c r="W49"/>
    </row>
    <row r="50" spans="1:23" ht="13.5" customHeight="1" thickBot="1" thickTop="1">
      <c r="A50" s="353" t="s">
        <v>78</v>
      </c>
      <c r="B50" s="105"/>
      <c r="C50" s="542">
        <f aca="true" t="shared" si="2" ref="C50:R50">SUM(C7:C49)</f>
        <v>1</v>
      </c>
      <c r="D50" s="543">
        <f t="shared" si="2"/>
        <v>0</v>
      </c>
      <c r="E50" s="542">
        <f t="shared" si="2"/>
        <v>3</v>
      </c>
      <c r="F50" s="543">
        <f t="shared" si="2"/>
        <v>0</v>
      </c>
      <c r="G50" s="542">
        <f>SUM(G7:G49)</f>
        <v>0</v>
      </c>
      <c r="H50" s="543">
        <f>SUM(H7:H49)</f>
        <v>0</v>
      </c>
      <c r="I50" s="542">
        <f t="shared" si="2"/>
        <v>0</v>
      </c>
      <c r="J50" s="543">
        <f t="shared" si="2"/>
        <v>0</v>
      </c>
      <c r="K50" s="542">
        <f>SUM(K7:K49)</f>
        <v>0</v>
      </c>
      <c r="L50" s="659">
        <f>SUM(L7:L49)</f>
        <v>0</v>
      </c>
      <c r="M50" s="542">
        <f t="shared" si="2"/>
        <v>0</v>
      </c>
      <c r="N50" s="543">
        <f t="shared" si="2"/>
        <v>0</v>
      </c>
      <c r="O50" s="542">
        <f t="shared" si="2"/>
        <v>9</v>
      </c>
      <c r="P50" s="543">
        <f t="shared" si="2"/>
        <v>1</v>
      </c>
      <c r="Q50" s="542">
        <f t="shared" si="2"/>
        <v>13</v>
      </c>
      <c r="R50" s="681">
        <f t="shared" si="2"/>
        <v>1</v>
      </c>
      <c r="T50"/>
      <c r="U50"/>
      <c r="V50"/>
      <c r="W50"/>
    </row>
    <row r="51" ht="18.75" customHeight="1">
      <c r="A51" s="96" t="s">
        <v>105</v>
      </c>
    </row>
    <row r="52" spans="1:14" ht="11.25">
      <c r="A52" s="26" t="s">
        <v>192</v>
      </c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ht="11.25">
      <c r="A53" s="26" t="s">
        <v>448</v>
      </c>
    </row>
  </sheetData>
  <sheetProtection password="EA98" sheet="1" formatColumns="0" selectLockedCells="1"/>
  <mergeCells count="18">
    <mergeCell ref="N2:R2"/>
    <mergeCell ref="A1:P1"/>
    <mergeCell ref="G4:H4"/>
    <mergeCell ref="C5:D5"/>
    <mergeCell ref="E5:F5"/>
    <mergeCell ref="G5:H5"/>
    <mergeCell ref="I5:J5"/>
    <mergeCell ref="Q4:R4"/>
    <mergeCell ref="K5:L5"/>
    <mergeCell ref="Q5:R5"/>
    <mergeCell ref="K4:L4"/>
    <mergeCell ref="M5:N5"/>
    <mergeCell ref="O5:P5"/>
    <mergeCell ref="C4:D4"/>
    <mergeCell ref="E4:F4"/>
    <mergeCell ref="I4:J4"/>
    <mergeCell ref="O4:P4"/>
    <mergeCell ref="M4:N4"/>
  </mergeCells>
  <printOptions horizontalCentered="1" verticalCentered="1"/>
  <pageMargins left="0" right="0" top="0.17" bottom="0.17" header="0.19" footer="0.19"/>
  <pageSetup fitToHeight="1" fitToWidth="1" horizontalDpi="600" verticalDpi="600" orientation="landscape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U54"/>
  <sheetViews>
    <sheetView showGridLines="0" zoomScalePageLayoutView="0" workbookViewId="0" topLeftCell="A1">
      <pane xSplit="2" ySplit="6" topLeftCell="O13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E16" sqref="E16"/>
    </sheetView>
  </sheetViews>
  <sheetFormatPr defaultColWidth="10.66015625" defaultRowHeight="10.5"/>
  <cols>
    <col min="1" max="1" width="36.83203125" style="84" customWidth="1"/>
    <col min="2" max="2" width="65.66015625" style="95" customWidth="1"/>
    <col min="3" max="10" width="10.83203125" style="84" customWidth="1"/>
    <col min="11" max="14" width="11.16015625" style="84" customWidth="1"/>
    <col min="15" max="18" width="10.33203125" style="84" customWidth="1"/>
    <col min="19" max="20" width="10.83203125" style="84" customWidth="1"/>
    <col min="21" max="21" width="5.83203125" style="84" customWidth="1"/>
    <col min="22" max="16384" width="10.66015625" style="84" customWidth="1"/>
  </cols>
  <sheetData>
    <row r="1" spans="1:21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3"/>
      <c r="T1" s="370"/>
      <c r="U1"/>
    </row>
    <row r="2" spans="1:20" ht="30" customHeight="1" thickBot="1">
      <c r="A2" s="80"/>
      <c r="B2" s="81"/>
      <c r="C2" s="82"/>
      <c r="D2" s="83"/>
      <c r="E2" s="83"/>
      <c r="F2" s="83"/>
      <c r="G2" s="82"/>
      <c r="H2" s="82"/>
      <c r="I2" s="82"/>
      <c r="J2" s="82"/>
      <c r="K2" s="82"/>
      <c r="L2" s="1397"/>
      <c r="M2" s="1397"/>
      <c r="N2" s="1397"/>
      <c r="O2" s="1397"/>
      <c r="P2" s="1397"/>
      <c r="Q2" s="1397"/>
      <c r="R2" s="1397"/>
      <c r="S2" s="1397"/>
      <c r="T2" s="1397"/>
    </row>
    <row r="3" spans="1:20" ht="15" customHeight="1" thickBot="1">
      <c r="A3" s="85"/>
      <c r="B3" s="86"/>
      <c r="C3" s="87" t="s">
        <v>271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</row>
    <row r="4" spans="1:20" ht="37.5" customHeight="1" thickTop="1">
      <c r="A4" s="331" t="s">
        <v>148</v>
      </c>
      <c r="B4" s="90" t="s">
        <v>74</v>
      </c>
      <c r="C4" s="1428" t="s">
        <v>667</v>
      </c>
      <c r="D4" s="1413"/>
      <c r="E4" s="1428" t="s">
        <v>103</v>
      </c>
      <c r="F4" s="1413"/>
      <c r="G4" s="1428" t="s">
        <v>55</v>
      </c>
      <c r="H4" s="1429"/>
      <c r="I4" s="1428" t="s">
        <v>56</v>
      </c>
      <c r="J4" s="1429"/>
      <c r="K4" s="1430" t="s">
        <v>551</v>
      </c>
      <c r="L4" s="1436"/>
      <c r="M4" s="1428" t="s">
        <v>552</v>
      </c>
      <c r="N4" s="1429"/>
      <c r="O4" s="1428" t="s">
        <v>558</v>
      </c>
      <c r="P4" s="1429"/>
      <c r="Q4" s="1430" t="s">
        <v>559</v>
      </c>
      <c r="R4" s="1431"/>
      <c r="S4" s="1432" t="s">
        <v>78</v>
      </c>
      <c r="T4" s="1433"/>
    </row>
    <row r="5" spans="1:20" ht="11.25">
      <c r="A5" s="1166"/>
      <c r="B5" s="90"/>
      <c r="C5" s="1434" t="s">
        <v>675</v>
      </c>
      <c r="D5" s="1435"/>
      <c r="E5" s="1434" t="s">
        <v>676</v>
      </c>
      <c r="F5" s="1435"/>
      <c r="G5" s="1434" t="s">
        <v>677</v>
      </c>
      <c r="H5" s="1435"/>
      <c r="I5" s="1434" t="s">
        <v>678</v>
      </c>
      <c r="J5" s="1435"/>
      <c r="K5" s="1434" t="s">
        <v>679</v>
      </c>
      <c r="L5" s="1435"/>
      <c r="M5" s="1434" t="s">
        <v>680</v>
      </c>
      <c r="N5" s="1435"/>
      <c r="O5" s="1434" t="s">
        <v>681</v>
      </c>
      <c r="P5" s="1435"/>
      <c r="Q5" s="1434" t="s">
        <v>682</v>
      </c>
      <c r="R5" s="1435"/>
      <c r="S5" s="1437"/>
      <c r="T5" s="1438"/>
    </row>
    <row r="6" spans="1:20" ht="12" thickBot="1">
      <c r="A6" s="91"/>
      <c r="B6" s="92"/>
      <c r="C6" s="1170" t="s">
        <v>76</v>
      </c>
      <c r="D6" s="1171" t="s">
        <v>77</v>
      </c>
      <c r="E6" s="1170" t="s">
        <v>76</v>
      </c>
      <c r="F6" s="1171" t="s">
        <v>77</v>
      </c>
      <c r="G6" s="1170" t="s">
        <v>76</v>
      </c>
      <c r="H6" s="1171" t="s">
        <v>77</v>
      </c>
      <c r="I6" s="1170" t="s">
        <v>76</v>
      </c>
      <c r="J6" s="1171" t="s">
        <v>77</v>
      </c>
      <c r="K6" s="1170" t="s">
        <v>76</v>
      </c>
      <c r="L6" s="1171" t="s">
        <v>77</v>
      </c>
      <c r="M6" s="1170" t="s">
        <v>76</v>
      </c>
      <c r="N6" s="1171" t="s">
        <v>77</v>
      </c>
      <c r="O6" s="1170" t="s">
        <v>76</v>
      </c>
      <c r="P6" s="1171" t="s">
        <v>77</v>
      </c>
      <c r="Q6" s="1170" t="s">
        <v>76</v>
      </c>
      <c r="R6" s="1171" t="s">
        <v>77</v>
      </c>
      <c r="S6" s="1170" t="s">
        <v>76</v>
      </c>
      <c r="T6" s="1172" t="s">
        <v>77</v>
      </c>
    </row>
    <row r="7" spans="1:20" ht="12" customHeight="1" thickTop="1">
      <c r="A7" s="25" t="str">
        <f>'t1'!A6</f>
        <v>SEGRETARIO A</v>
      </c>
      <c r="B7" s="257" t="str">
        <f>'t1'!B6</f>
        <v>0D0102</v>
      </c>
      <c r="C7" s="262"/>
      <c r="D7" s="263"/>
      <c r="E7" s="262"/>
      <c r="F7" s="661"/>
      <c r="G7" s="262"/>
      <c r="H7" s="263"/>
      <c r="I7" s="262"/>
      <c r="J7" s="661"/>
      <c r="K7" s="262"/>
      <c r="L7" s="263"/>
      <c r="M7" s="661"/>
      <c r="N7" s="263"/>
      <c r="O7" s="661"/>
      <c r="P7" s="263"/>
      <c r="Q7" s="664"/>
      <c r="R7" s="264"/>
      <c r="S7" s="544">
        <f>SUM(C7,E7,G7,I7,K7,M7,O7,Q7)</f>
        <v>0</v>
      </c>
      <c r="T7" s="545">
        <f>SUM(D7,F7,H7,J7,L7,N7,P7,R7)</f>
        <v>0</v>
      </c>
    </row>
    <row r="8" spans="1:20" ht="12" customHeight="1">
      <c r="A8" s="168" t="str">
        <f>'t1'!A7</f>
        <v>SEGRETARIO B</v>
      </c>
      <c r="B8" s="249" t="str">
        <f>'t1'!B7</f>
        <v>0D0103</v>
      </c>
      <c r="C8" s="265"/>
      <c r="D8" s="266"/>
      <c r="E8" s="265"/>
      <c r="F8" s="662"/>
      <c r="G8" s="265"/>
      <c r="H8" s="266"/>
      <c r="I8" s="265"/>
      <c r="J8" s="662"/>
      <c r="K8" s="265"/>
      <c r="L8" s="266"/>
      <c r="M8" s="662"/>
      <c r="N8" s="266"/>
      <c r="O8" s="662"/>
      <c r="P8" s="266"/>
      <c r="Q8" s="665"/>
      <c r="R8" s="267"/>
      <c r="S8" s="544">
        <f aca="true" t="shared" si="0" ref="S8:S49">SUM(C8,E8,G8,I8,K8,M8,O8,Q8)</f>
        <v>0</v>
      </c>
      <c r="T8" s="545">
        <f aca="true" t="shared" si="1" ref="T8:T49">SUM(D8,F8,H8,J8,L8,N8,P8,R8)</f>
        <v>0</v>
      </c>
    </row>
    <row r="9" spans="1:20" ht="12" customHeight="1">
      <c r="A9" s="168" t="str">
        <f>'t1'!A8</f>
        <v>SEGRETARIO C</v>
      </c>
      <c r="B9" s="249" t="str">
        <f>'t1'!B8</f>
        <v>0D0485</v>
      </c>
      <c r="C9" s="265"/>
      <c r="D9" s="266"/>
      <c r="E9" s="265"/>
      <c r="F9" s="662"/>
      <c r="G9" s="265"/>
      <c r="H9" s="266"/>
      <c r="I9" s="265"/>
      <c r="J9" s="662"/>
      <c r="K9" s="265"/>
      <c r="L9" s="266"/>
      <c r="M9" s="662"/>
      <c r="N9" s="266"/>
      <c r="O9" s="662"/>
      <c r="P9" s="266"/>
      <c r="Q9" s="665"/>
      <c r="R9" s="267"/>
      <c r="S9" s="544">
        <f t="shared" si="0"/>
        <v>0</v>
      </c>
      <c r="T9" s="545">
        <f t="shared" si="1"/>
        <v>0</v>
      </c>
    </row>
    <row r="10" spans="1:20" ht="12" customHeight="1">
      <c r="A10" s="168" t="str">
        <f>'t1'!A9</f>
        <v>SEGRETARIO GENERALE CCIAA</v>
      </c>
      <c r="B10" s="249" t="str">
        <f>'t1'!B9</f>
        <v>0D0104</v>
      </c>
      <c r="C10" s="265"/>
      <c r="D10" s="266"/>
      <c r="E10" s="265"/>
      <c r="F10" s="662"/>
      <c r="G10" s="265"/>
      <c r="H10" s="266"/>
      <c r="I10" s="265"/>
      <c r="J10" s="662"/>
      <c r="K10" s="265"/>
      <c r="L10" s="266"/>
      <c r="M10" s="662"/>
      <c r="N10" s="266"/>
      <c r="O10" s="662"/>
      <c r="P10" s="266"/>
      <c r="Q10" s="665"/>
      <c r="R10" s="267"/>
      <c r="S10" s="544">
        <f t="shared" si="0"/>
        <v>0</v>
      </c>
      <c r="T10" s="545">
        <f t="shared" si="1"/>
        <v>0</v>
      </c>
    </row>
    <row r="11" spans="1:20" ht="12" customHeight="1">
      <c r="A11" s="168" t="str">
        <f>'t1'!A10</f>
        <v>DIRETTORE  GENERALE</v>
      </c>
      <c r="B11" s="249" t="str">
        <f>'t1'!B10</f>
        <v>0D0097</v>
      </c>
      <c r="C11" s="265"/>
      <c r="D11" s="266"/>
      <c r="E11" s="265"/>
      <c r="F11" s="662"/>
      <c r="G11" s="265"/>
      <c r="H11" s="266"/>
      <c r="I11" s="265"/>
      <c r="J11" s="662"/>
      <c r="K11" s="265"/>
      <c r="L11" s="266"/>
      <c r="M11" s="662"/>
      <c r="N11" s="266"/>
      <c r="O11" s="662"/>
      <c r="P11" s="266"/>
      <c r="Q11" s="665"/>
      <c r="R11" s="267"/>
      <c r="S11" s="544">
        <f t="shared" si="0"/>
        <v>0</v>
      </c>
      <c r="T11" s="545">
        <f t="shared" si="1"/>
        <v>0</v>
      </c>
    </row>
    <row r="12" spans="1:20" ht="12" customHeight="1">
      <c r="A12" s="168" t="str">
        <f>'t1'!A11</f>
        <v>DIRIGENTE FUORI D.O.</v>
      </c>
      <c r="B12" s="249" t="str">
        <f>'t1'!B11</f>
        <v>0D0098</v>
      </c>
      <c r="C12" s="265"/>
      <c r="D12" s="266"/>
      <c r="E12" s="265"/>
      <c r="F12" s="662"/>
      <c r="G12" s="265"/>
      <c r="H12" s="266"/>
      <c r="I12" s="265"/>
      <c r="J12" s="662"/>
      <c r="K12" s="265"/>
      <c r="L12" s="266"/>
      <c r="M12" s="662"/>
      <c r="N12" s="266"/>
      <c r="O12" s="662"/>
      <c r="P12" s="266"/>
      <c r="Q12" s="665"/>
      <c r="R12" s="267"/>
      <c r="S12" s="544">
        <f t="shared" si="0"/>
        <v>0</v>
      </c>
      <c r="T12" s="545">
        <f t="shared" si="1"/>
        <v>0</v>
      </c>
    </row>
    <row r="13" spans="1:20" ht="12" customHeight="1">
      <c r="A13" s="168" t="str">
        <f>'t1'!A12</f>
        <v>ALTE SPECIALIZZ. FUORI D.O.</v>
      </c>
      <c r="B13" s="249" t="str">
        <f>'t1'!B12</f>
        <v>0D0095</v>
      </c>
      <c r="C13" s="265"/>
      <c r="D13" s="266"/>
      <c r="E13" s="265"/>
      <c r="F13" s="662"/>
      <c r="G13" s="265"/>
      <c r="H13" s="266"/>
      <c r="I13" s="265"/>
      <c r="J13" s="662"/>
      <c r="K13" s="265"/>
      <c r="L13" s="266"/>
      <c r="M13" s="662"/>
      <c r="N13" s="266"/>
      <c r="O13" s="662"/>
      <c r="P13" s="266"/>
      <c r="Q13" s="665"/>
      <c r="R13" s="267"/>
      <c r="S13" s="544">
        <f t="shared" si="0"/>
        <v>0</v>
      </c>
      <c r="T13" s="545">
        <f t="shared" si="1"/>
        <v>0</v>
      </c>
    </row>
    <row r="14" spans="1:20" ht="12" customHeight="1">
      <c r="A14" s="168" t="str">
        <f>'t1'!A13</f>
        <v>QUALIFICA DIRIGENZIALE TEMPO INDET.</v>
      </c>
      <c r="B14" s="249" t="str">
        <f>'t1'!B13</f>
        <v>0D0100</v>
      </c>
      <c r="C14" s="265"/>
      <c r="D14" s="266"/>
      <c r="E14" s="265"/>
      <c r="F14" s="662"/>
      <c r="G14" s="265"/>
      <c r="H14" s="266"/>
      <c r="I14" s="265"/>
      <c r="J14" s="662"/>
      <c r="K14" s="265"/>
      <c r="L14" s="266"/>
      <c r="M14" s="662"/>
      <c r="N14" s="266"/>
      <c r="O14" s="662"/>
      <c r="P14" s="266"/>
      <c r="Q14" s="665"/>
      <c r="R14" s="267"/>
      <c r="S14" s="544">
        <f t="shared" si="0"/>
        <v>0</v>
      </c>
      <c r="T14" s="545">
        <f t="shared" si="1"/>
        <v>0</v>
      </c>
    </row>
    <row r="15" spans="1:20" ht="12" customHeight="1">
      <c r="A15" s="168" t="str">
        <f>'t1'!A14</f>
        <v>QUALIFICA DIRIGENZIALE TEMPO DETER.</v>
      </c>
      <c r="B15" s="249" t="str">
        <f>'t1'!B14</f>
        <v>0D0099</v>
      </c>
      <c r="C15" s="265"/>
      <c r="D15" s="266"/>
      <c r="E15" s="265">
        <v>10</v>
      </c>
      <c r="F15" s="662"/>
      <c r="G15" s="265"/>
      <c r="H15" s="266"/>
      <c r="I15" s="265"/>
      <c r="J15" s="662"/>
      <c r="K15" s="265"/>
      <c r="L15" s="266"/>
      <c r="M15" s="662"/>
      <c r="N15" s="266"/>
      <c r="O15" s="662"/>
      <c r="P15" s="266"/>
      <c r="Q15" s="665"/>
      <c r="R15" s="267"/>
      <c r="S15" s="544">
        <f t="shared" si="0"/>
        <v>10</v>
      </c>
      <c r="T15" s="545">
        <f t="shared" si="1"/>
        <v>0</v>
      </c>
    </row>
    <row r="16" spans="1:20" ht="12" customHeight="1">
      <c r="A16" s="168" t="str">
        <f>'t1'!A15</f>
        <v>POSIZ. ECON. D6 - PROFILI ACCESSO D3</v>
      </c>
      <c r="B16" s="249" t="str">
        <f>'t1'!B15</f>
        <v>0D6A00</v>
      </c>
      <c r="C16" s="265"/>
      <c r="D16" s="266"/>
      <c r="E16" s="265"/>
      <c r="F16" s="662"/>
      <c r="G16" s="265"/>
      <c r="H16" s="266"/>
      <c r="I16" s="265"/>
      <c r="J16" s="662"/>
      <c r="K16" s="265"/>
      <c r="L16" s="266"/>
      <c r="M16" s="662"/>
      <c r="N16" s="266"/>
      <c r="O16" s="662"/>
      <c r="P16" s="266"/>
      <c r="Q16" s="665"/>
      <c r="R16" s="267"/>
      <c r="S16" s="544">
        <f t="shared" si="0"/>
        <v>0</v>
      </c>
      <c r="T16" s="545">
        <f t="shared" si="1"/>
        <v>0</v>
      </c>
    </row>
    <row r="17" spans="1:20" ht="12" customHeight="1">
      <c r="A17" s="168" t="str">
        <f>'t1'!A16</f>
        <v>POSIZ. ECON. D6 - PROFILO ACCESSO D1</v>
      </c>
      <c r="B17" s="249" t="str">
        <f>'t1'!B16</f>
        <v>0D6000</v>
      </c>
      <c r="C17" s="265"/>
      <c r="D17" s="266"/>
      <c r="E17" s="265"/>
      <c r="F17" s="662"/>
      <c r="G17" s="265"/>
      <c r="H17" s="266"/>
      <c r="I17" s="265"/>
      <c r="J17" s="662"/>
      <c r="K17" s="265"/>
      <c r="L17" s="266"/>
      <c r="M17" s="662"/>
      <c r="N17" s="266"/>
      <c r="O17" s="662"/>
      <c r="P17" s="266"/>
      <c r="Q17" s="665"/>
      <c r="R17" s="267"/>
      <c r="S17" s="544">
        <f t="shared" si="0"/>
        <v>0</v>
      </c>
      <c r="T17" s="545">
        <f t="shared" si="1"/>
        <v>0</v>
      </c>
    </row>
    <row r="18" spans="1:20" ht="12" customHeight="1">
      <c r="A18" s="168" t="str">
        <f>'t1'!A17</f>
        <v>POSIZ.ECON. D5 PROFILI ACCESSO D3</v>
      </c>
      <c r="B18" s="249" t="str">
        <f>'t1'!B17</f>
        <v>052486</v>
      </c>
      <c r="C18" s="268"/>
      <c r="D18" s="266"/>
      <c r="E18" s="265"/>
      <c r="F18" s="662"/>
      <c r="G18" s="265"/>
      <c r="H18" s="266"/>
      <c r="I18" s="265"/>
      <c r="J18" s="662"/>
      <c r="K18" s="265"/>
      <c r="L18" s="266"/>
      <c r="M18" s="662"/>
      <c r="N18" s="266"/>
      <c r="O18" s="662"/>
      <c r="P18" s="266"/>
      <c r="Q18" s="665"/>
      <c r="R18" s="267"/>
      <c r="S18" s="544">
        <f t="shared" si="0"/>
        <v>0</v>
      </c>
      <c r="T18" s="545">
        <f t="shared" si="1"/>
        <v>0</v>
      </c>
    </row>
    <row r="19" spans="1:20" ht="12" customHeight="1">
      <c r="A19" s="168" t="str">
        <f>'t1'!A18</f>
        <v>POSIZ.ECON. D5 PROFILI ACCESSO D1</v>
      </c>
      <c r="B19" s="249" t="str">
        <f>'t1'!B18</f>
        <v>052487</v>
      </c>
      <c r="C19" s="268"/>
      <c r="D19" s="269"/>
      <c r="E19" s="663"/>
      <c r="F19" s="271"/>
      <c r="G19" s="265"/>
      <c r="H19" s="266"/>
      <c r="I19" s="663"/>
      <c r="J19" s="271"/>
      <c r="K19" s="268"/>
      <c r="L19" s="269"/>
      <c r="M19" s="271"/>
      <c r="N19" s="269"/>
      <c r="O19" s="271"/>
      <c r="P19" s="269"/>
      <c r="Q19" s="270"/>
      <c r="R19" s="271"/>
      <c r="S19" s="544">
        <f t="shared" si="0"/>
        <v>0</v>
      </c>
      <c r="T19" s="545">
        <f t="shared" si="1"/>
        <v>0</v>
      </c>
    </row>
    <row r="20" spans="1:20" ht="12" customHeight="1">
      <c r="A20" s="168" t="str">
        <f>'t1'!A19</f>
        <v>POSIZ.ECON. D4 PROFILI ACCESSO D3</v>
      </c>
      <c r="B20" s="249" t="str">
        <f>'t1'!B19</f>
        <v>051488</v>
      </c>
      <c r="C20" s="268"/>
      <c r="D20" s="269"/>
      <c r="E20" s="663"/>
      <c r="F20" s="271"/>
      <c r="G20" s="268"/>
      <c r="H20" s="269"/>
      <c r="I20" s="663"/>
      <c r="J20" s="271"/>
      <c r="K20" s="268"/>
      <c r="L20" s="269"/>
      <c r="M20" s="271"/>
      <c r="N20" s="269"/>
      <c r="O20" s="271"/>
      <c r="P20" s="269"/>
      <c r="Q20" s="270"/>
      <c r="R20" s="271"/>
      <c r="S20" s="544">
        <f t="shared" si="0"/>
        <v>0</v>
      </c>
      <c r="T20" s="545">
        <f t="shared" si="1"/>
        <v>0</v>
      </c>
    </row>
    <row r="21" spans="1:20" ht="12" customHeight="1">
      <c r="A21" s="168" t="str">
        <f>'t1'!A20</f>
        <v>POSIZ.ECON. D4 PROFILI ACCESSO D1</v>
      </c>
      <c r="B21" s="249" t="str">
        <f>'t1'!B20</f>
        <v>051489</v>
      </c>
      <c r="C21" s="268"/>
      <c r="D21" s="269"/>
      <c r="E21" s="663"/>
      <c r="F21" s="271"/>
      <c r="G21" s="268"/>
      <c r="H21" s="269"/>
      <c r="I21" s="663"/>
      <c r="J21" s="271"/>
      <c r="K21" s="268"/>
      <c r="L21" s="269"/>
      <c r="M21" s="271"/>
      <c r="N21" s="269"/>
      <c r="O21" s="271"/>
      <c r="P21" s="269"/>
      <c r="Q21" s="270"/>
      <c r="R21" s="271"/>
      <c r="S21" s="544">
        <f t="shared" si="0"/>
        <v>0</v>
      </c>
      <c r="T21" s="545">
        <f t="shared" si="1"/>
        <v>0</v>
      </c>
    </row>
    <row r="22" spans="1:20" ht="12" customHeight="1">
      <c r="A22" s="168" t="str">
        <f>'t1'!A21</f>
        <v>POSIZIONE ECONOMICA DI ACCESSO D3</v>
      </c>
      <c r="B22" s="249" t="str">
        <f>'t1'!B21</f>
        <v>058000</v>
      </c>
      <c r="C22" s="268"/>
      <c r="D22" s="269"/>
      <c r="E22" s="663"/>
      <c r="F22" s="271"/>
      <c r="G22" s="268"/>
      <c r="H22" s="269"/>
      <c r="I22" s="663"/>
      <c r="J22" s="271"/>
      <c r="K22" s="268"/>
      <c r="L22" s="269"/>
      <c r="M22" s="271"/>
      <c r="N22" s="269"/>
      <c r="O22" s="271"/>
      <c r="P22" s="269"/>
      <c r="Q22" s="270"/>
      <c r="R22" s="271"/>
      <c r="S22" s="544">
        <f t="shared" si="0"/>
        <v>0</v>
      </c>
      <c r="T22" s="545">
        <f t="shared" si="1"/>
        <v>0</v>
      </c>
    </row>
    <row r="23" spans="1:20" ht="12" customHeight="1">
      <c r="A23" s="168" t="str">
        <f>'t1'!A22</f>
        <v>POSIZIONE ECONOMICA D3</v>
      </c>
      <c r="B23" s="249" t="str">
        <f>'t1'!B22</f>
        <v>050000</v>
      </c>
      <c r="C23" s="268"/>
      <c r="D23" s="269"/>
      <c r="E23" s="663"/>
      <c r="F23" s="271"/>
      <c r="G23" s="268"/>
      <c r="H23" s="269"/>
      <c r="I23" s="663"/>
      <c r="J23" s="271"/>
      <c r="K23" s="268"/>
      <c r="L23" s="269"/>
      <c r="M23" s="271"/>
      <c r="N23" s="269"/>
      <c r="O23" s="271"/>
      <c r="P23" s="269"/>
      <c r="Q23" s="270"/>
      <c r="R23" s="271"/>
      <c r="S23" s="544">
        <f t="shared" si="0"/>
        <v>0</v>
      </c>
      <c r="T23" s="545">
        <f t="shared" si="1"/>
        <v>0</v>
      </c>
    </row>
    <row r="24" spans="1:20" ht="12" customHeight="1">
      <c r="A24" s="168" t="str">
        <f>'t1'!A23</f>
        <v>POSIZIONE ECONOMICA D2</v>
      </c>
      <c r="B24" s="249" t="str">
        <f>'t1'!B23</f>
        <v>049000</v>
      </c>
      <c r="C24" s="268"/>
      <c r="D24" s="269"/>
      <c r="E24" s="663"/>
      <c r="F24" s="271"/>
      <c r="G24" s="268"/>
      <c r="H24" s="269"/>
      <c r="I24" s="663"/>
      <c r="J24" s="271"/>
      <c r="K24" s="268"/>
      <c r="L24" s="269"/>
      <c r="M24" s="271"/>
      <c r="N24" s="269"/>
      <c r="O24" s="271"/>
      <c r="P24" s="269"/>
      <c r="Q24" s="270"/>
      <c r="R24" s="271"/>
      <c r="S24" s="544">
        <f t="shared" si="0"/>
        <v>0</v>
      </c>
      <c r="T24" s="545">
        <f t="shared" si="1"/>
        <v>0</v>
      </c>
    </row>
    <row r="25" spans="1:20" ht="12" customHeight="1">
      <c r="A25" s="168" t="str">
        <f>'t1'!A24</f>
        <v>POSIZIONE ECONOMICA DI ACCESSO D1</v>
      </c>
      <c r="B25" s="249" t="str">
        <f>'t1'!B24</f>
        <v>057000</v>
      </c>
      <c r="C25" s="268"/>
      <c r="D25" s="269"/>
      <c r="E25" s="663"/>
      <c r="F25" s="271"/>
      <c r="G25" s="268"/>
      <c r="H25" s="269"/>
      <c r="I25" s="663"/>
      <c r="J25" s="271"/>
      <c r="K25" s="268"/>
      <c r="L25" s="269"/>
      <c r="M25" s="271"/>
      <c r="N25" s="269"/>
      <c r="O25" s="271"/>
      <c r="P25" s="269"/>
      <c r="Q25" s="270"/>
      <c r="R25" s="271"/>
      <c r="S25" s="544">
        <f t="shared" si="0"/>
        <v>0</v>
      </c>
      <c r="T25" s="545">
        <f t="shared" si="1"/>
        <v>0</v>
      </c>
    </row>
    <row r="26" spans="1:20" ht="12" customHeight="1">
      <c r="A26" s="168" t="str">
        <f>'t1'!A25</f>
        <v>POSIZIONE ECONOMICA C5</v>
      </c>
      <c r="B26" s="249" t="str">
        <f>'t1'!B25</f>
        <v>046000</v>
      </c>
      <c r="C26" s="268"/>
      <c r="D26" s="269"/>
      <c r="E26" s="663"/>
      <c r="F26" s="271"/>
      <c r="G26" s="268"/>
      <c r="H26" s="269"/>
      <c r="I26" s="663"/>
      <c r="J26" s="271"/>
      <c r="K26" s="268"/>
      <c r="L26" s="269"/>
      <c r="M26" s="271"/>
      <c r="N26" s="269"/>
      <c r="O26" s="271"/>
      <c r="P26" s="269"/>
      <c r="Q26" s="270"/>
      <c r="R26" s="271"/>
      <c r="S26" s="544">
        <f t="shared" si="0"/>
        <v>0</v>
      </c>
      <c r="T26" s="545">
        <f t="shared" si="1"/>
        <v>0</v>
      </c>
    </row>
    <row r="27" spans="1:20" ht="12" customHeight="1">
      <c r="A27" s="168" t="str">
        <f>'t1'!A26</f>
        <v>POSIZIONE ECONOMICA C4</v>
      </c>
      <c r="B27" s="249" t="str">
        <f>'t1'!B26</f>
        <v>045000</v>
      </c>
      <c r="C27" s="268"/>
      <c r="D27" s="269"/>
      <c r="E27" s="663"/>
      <c r="F27" s="271"/>
      <c r="G27" s="268"/>
      <c r="H27" s="269"/>
      <c r="I27" s="663"/>
      <c r="J27" s="271"/>
      <c r="K27" s="268"/>
      <c r="L27" s="269"/>
      <c r="M27" s="271"/>
      <c r="N27" s="269"/>
      <c r="O27" s="271"/>
      <c r="P27" s="269"/>
      <c r="Q27" s="270"/>
      <c r="R27" s="271"/>
      <c r="S27" s="544">
        <f t="shared" si="0"/>
        <v>0</v>
      </c>
      <c r="T27" s="545">
        <f t="shared" si="1"/>
        <v>0</v>
      </c>
    </row>
    <row r="28" spans="1:20" ht="12" customHeight="1">
      <c r="A28" s="168" t="str">
        <f>'t1'!A27</f>
        <v>POSIZIONE ECONOMICA C3</v>
      </c>
      <c r="B28" s="249" t="str">
        <f>'t1'!B27</f>
        <v>043000</v>
      </c>
      <c r="C28" s="268"/>
      <c r="D28" s="269"/>
      <c r="E28" s="663"/>
      <c r="F28" s="271"/>
      <c r="G28" s="268"/>
      <c r="H28" s="269"/>
      <c r="I28" s="663"/>
      <c r="J28" s="271"/>
      <c r="K28" s="268"/>
      <c r="L28" s="269"/>
      <c r="M28" s="271"/>
      <c r="N28" s="269"/>
      <c r="O28" s="271"/>
      <c r="P28" s="269"/>
      <c r="Q28" s="270"/>
      <c r="R28" s="271"/>
      <c r="S28" s="544">
        <f t="shared" si="0"/>
        <v>0</v>
      </c>
      <c r="T28" s="545">
        <f t="shared" si="1"/>
        <v>0</v>
      </c>
    </row>
    <row r="29" spans="1:20" ht="12" customHeight="1">
      <c r="A29" s="168" t="str">
        <f>'t1'!A28</f>
        <v>POSIZIONE ECONOMICA C2</v>
      </c>
      <c r="B29" s="249" t="str">
        <f>'t1'!B28</f>
        <v>042000</v>
      </c>
      <c r="C29" s="268"/>
      <c r="D29" s="269"/>
      <c r="E29" s="663"/>
      <c r="F29" s="271"/>
      <c r="G29" s="268"/>
      <c r="H29" s="269"/>
      <c r="I29" s="663"/>
      <c r="J29" s="271"/>
      <c r="K29" s="268"/>
      <c r="L29" s="269"/>
      <c r="M29" s="271"/>
      <c r="N29" s="269"/>
      <c r="O29" s="271"/>
      <c r="P29" s="269"/>
      <c r="Q29" s="270"/>
      <c r="R29" s="271"/>
      <c r="S29" s="544">
        <f t="shared" si="0"/>
        <v>0</v>
      </c>
      <c r="T29" s="545">
        <f t="shared" si="1"/>
        <v>0</v>
      </c>
    </row>
    <row r="30" spans="1:20" ht="12" customHeight="1">
      <c r="A30" s="168" t="str">
        <f>'t1'!A29</f>
        <v>POSIZIONE ECONOMICA DI ACCESSO C1</v>
      </c>
      <c r="B30" s="249" t="str">
        <f>'t1'!B29</f>
        <v>056000</v>
      </c>
      <c r="C30" s="268"/>
      <c r="D30" s="269"/>
      <c r="E30" s="663"/>
      <c r="F30" s="271"/>
      <c r="G30" s="268"/>
      <c r="H30" s="269"/>
      <c r="I30" s="663"/>
      <c r="J30" s="271"/>
      <c r="K30" s="268"/>
      <c r="L30" s="269"/>
      <c r="M30" s="271"/>
      <c r="N30" s="269"/>
      <c r="O30" s="271"/>
      <c r="P30" s="269"/>
      <c r="Q30" s="270"/>
      <c r="R30" s="271"/>
      <c r="S30" s="544">
        <f t="shared" si="0"/>
        <v>0</v>
      </c>
      <c r="T30" s="545">
        <f t="shared" si="1"/>
        <v>0</v>
      </c>
    </row>
    <row r="31" spans="1:20" ht="12" customHeight="1">
      <c r="A31" s="168" t="str">
        <f>'t1'!A30</f>
        <v>POSIZ. ECON. B7 - PROFILO ACCESSO B3</v>
      </c>
      <c r="B31" s="249" t="str">
        <f>'t1'!B30</f>
        <v>0B7A00</v>
      </c>
      <c r="C31" s="268"/>
      <c r="D31" s="269"/>
      <c r="E31" s="663"/>
      <c r="F31" s="271"/>
      <c r="G31" s="268"/>
      <c r="H31" s="269"/>
      <c r="I31" s="663"/>
      <c r="J31" s="271"/>
      <c r="K31" s="268"/>
      <c r="L31" s="269"/>
      <c r="M31" s="271"/>
      <c r="N31" s="269"/>
      <c r="O31" s="271"/>
      <c r="P31" s="269"/>
      <c r="Q31" s="270"/>
      <c r="R31" s="271"/>
      <c r="S31" s="544">
        <f t="shared" si="0"/>
        <v>0</v>
      </c>
      <c r="T31" s="545">
        <f t="shared" si="1"/>
        <v>0</v>
      </c>
    </row>
    <row r="32" spans="1:20" ht="12" customHeight="1">
      <c r="A32" s="168" t="str">
        <f>'t1'!A31</f>
        <v>POSIZ. ECON. B7 - PROFILO  ACCESSO B1</v>
      </c>
      <c r="B32" s="249" t="str">
        <f>'t1'!B31</f>
        <v>0B7000</v>
      </c>
      <c r="C32" s="268"/>
      <c r="D32" s="269"/>
      <c r="E32" s="663"/>
      <c r="F32" s="271"/>
      <c r="G32" s="268"/>
      <c r="H32" s="269"/>
      <c r="I32" s="663"/>
      <c r="J32" s="271"/>
      <c r="K32" s="268"/>
      <c r="L32" s="269"/>
      <c r="M32" s="271"/>
      <c r="N32" s="269"/>
      <c r="O32" s="271"/>
      <c r="P32" s="269"/>
      <c r="Q32" s="270"/>
      <c r="R32" s="271"/>
      <c r="S32" s="544">
        <f t="shared" si="0"/>
        <v>0</v>
      </c>
      <c r="T32" s="545">
        <f t="shared" si="1"/>
        <v>0</v>
      </c>
    </row>
    <row r="33" spans="1:20" ht="12" customHeight="1">
      <c r="A33" s="168" t="str">
        <f>'t1'!A32</f>
        <v>POSIZ.ECON. B6 PROFILI ACCESSO B3</v>
      </c>
      <c r="B33" s="249" t="str">
        <f>'t1'!B32</f>
        <v>038490</v>
      </c>
      <c r="C33" s="268"/>
      <c r="D33" s="269"/>
      <c r="E33" s="663"/>
      <c r="F33" s="271"/>
      <c r="G33" s="268"/>
      <c r="H33" s="269"/>
      <c r="I33" s="663"/>
      <c r="J33" s="271"/>
      <c r="K33" s="268"/>
      <c r="L33" s="269"/>
      <c r="M33" s="271"/>
      <c r="N33" s="269"/>
      <c r="O33" s="271"/>
      <c r="P33" s="269"/>
      <c r="Q33" s="270"/>
      <c r="R33" s="271"/>
      <c r="S33" s="544">
        <f t="shared" si="0"/>
        <v>0</v>
      </c>
      <c r="T33" s="545">
        <f t="shared" si="1"/>
        <v>0</v>
      </c>
    </row>
    <row r="34" spans="1:20" ht="12" customHeight="1">
      <c r="A34" s="168" t="str">
        <f>'t1'!A33</f>
        <v>POSIZ.ECON. B6 PROFILI ACCESSO B1</v>
      </c>
      <c r="B34" s="249" t="str">
        <f>'t1'!B33</f>
        <v>038491</v>
      </c>
      <c r="C34" s="268"/>
      <c r="D34" s="269"/>
      <c r="E34" s="663"/>
      <c r="F34" s="271"/>
      <c r="G34" s="268"/>
      <c r="H34" s="269"/>
      <c r="I34" s="663"/>
      <c r="J34" s="271"/>
      <c r="K34" s="268"/>
      <c r="L34" s="269"/>
      <c r="M34" s="271"/>
      <c r="N34" s="269"/>
      <c r="O34" s="271"/>
      <c r="P34" s="269"/>
      <c r="Q34" s="270"/>
      <c r="R34" s="271"/>
      <c r="S34" s="544">
        <f t="shared" si="0"/>
        <v>0</v>
      </c>
      <c r="T34" s="545">
        <f t="shared" si="1"/>
        <v>0</v>
      </c>
    </row>
    <row r="35" spans="1:20" ht="12" customHeight="1">
      <c r="A35" s="168" t="str">
        <f>'t1'!A34</f>
        <v>POSIZ.ECON. B5 PROFILI ACCESSO B3</v>
      </c>
      <c r="B35" s="249" t="str">
        <f>'t1'!B34</f>
        <v>037492</v>
      </c>
      <c r="C35" s="268"/>
      <c r="D35" s="269"/>
      <c r="E35" s="663"/>
      <c r="F35" s="271"/>
      <c r="G35" s="268"/>
      <c r="H35" s="269"/>
      <c r="I35" s="663"/>
      <c r="J35" s="271"/>
      <c r="K35" s="268"/>
      <c r="L35" s="269"/>
      <c r="M35" s="271"/>
      <c r="N35" s="269"/>
      <c r="O35" s="271"/>
      <c r="P35" s="269"/>
      <c r="Q35" s="270"/>
      <c r="R35" s="271"/>
      <c r="S35" s="544">
        <f t="shared" si="0"/>
        <v>0</v>
      </c>
      <c r="T35" s="545">
        <f t="shared" si="1"/>
        <v>0</v>
      </c>
    </row>
    <row r="36" spans="1:20" ht="12" customHeight="1">
      <c r="A36" s="168" t="str">
        <f>'t1'!A35</f>
        <v>POSIZ.ECON. B5 PROFILI ACCESSO B1</v>
      </c>
      <c r="B36" s="249" t="str">
        <f>'t1'!B35</f>
        <v>037493</v>
      </c>
      <c r="C36" s="268"/>
      <c r="D36" s="269"/>
      <c r="E36" s="663"/>
      <c r="F36" s="271"/>
      <c r="G36" s="268"/>
      <c r="H36" s="269"/>
      <c r="I36" s="663"/>
      <c r="J36" s="271"/>
      <c r="K36" s="268"/>
      <c r="L36" s="269"/>
      <c r="M36" s="271"/>
      <c r="N36" s="269"/>
      <c r="O36" s="271"/>
      <c r="P36" s="269"/>
      <c r="Q36" s="270"/>
      <c r="R36" s="271"/>
      <c r="S36" s="544">
        <f t="shared" si="0"/>
        <v>0</v>
      </c>
      <c r="T36" s="545">
        <f t="shared" si="1"/>
        <v>0</v>
      </c>
    </row>
    <row r="37" spans="1:20" ht="12" customHeight="1">
      <c r="A37" s="168" t="str">
        <f>'t1'!A36</f>
        <v>POSIZ.ECON. B4 PROFILI ACCESSO B3</v>
      </c>
      <c r="B37" s="249" t="str">
        <f>'t1'!B36</f>
        <v>036494</v>
      </c>
      <c r="C37" s="268"/>
      <c r="D37" s="269"/>
      <c r="E37" s="663"/>
      <c r="F37" s="271"/>
      <c r="G37" s="268"/>
      <c r="H37" s="269"/>
      <c r="I37" s="663"/>
      <c r="J37" s="271"/>
      <c r="K37" s="268"/>
      <c r="L37" s="269"/>
      <c r="M37" s="271"/>
      <c r="N37" s="269"/>
      <c r="O37" s="271"/>
      <c r="P37" s="269"/>
      <c r="Q37" s="270"/>
      <c r="R37" s="271"/>
      <c r="S37" s="544">
        <f t="shared" si="0"/>
        <v>0</v>
      </c>
      <c r="T37" s="545">
        <f t="shared" si="1"/>
        <v>0</v>
      </c>
    </row>
    <row r="38" spans="1:20" ht="12" customHeight="1">
      <c r="A38" s="168" t="str">
        <f>'t1'!A37</f>
        <v>POSIZ.ECON. B4 PROFILI ACCESSO B1</v>
      </c>
      <c r="B38" s="249" t="str">
        <f>'t1'!B37</f>
        <v>036495</v>
      </c>
      <c r="C38" s="268"/>
      <c r="D38" s="269"/>
      <c r="E38" s="663"/>
      <c r="F38" s="271"/>
      <c r="G38" s="268"/>
      <c r="H38" s="269"/>
      <c r="I38" s="663"/>
      <c r="J38" s="271"/>
      <c r="K38" s="268"/>
      <c r="L38" s="269"/>
      <c r="M38" s="271"/>
      <c r="N38" s="269"/>
      <c r="O38" s="271"/>
      <c r="P38" s="269"/>
      <c r="Q38" s="270"/>
      <c r="R38" s="271"/>
      <c r="S38" s="544">
        <f t="shared" si="0"/>
        <v>0</v>
      </c>
      <c r="T38" s="545">
        <f t="shared" si="1"/>
        <v>0</v>
      </c>
    </row>
    <row r="39" spans="1:20" ht="12" customHeight="1">
      <c r="A39" s="168" t="str">
        <f>'t1'!A38</f>
        <v>POSIZIONE ECONOMICA DI ACCESSO B3</v>
      </c>
      <c r="B39" s="249" t="str">
        <f>'t1'!B38</f>
        <v>055000</v>
      </c>
      <c r="C39" s="268"/>
      <c r="D39" s="269"/>
      <c r="E39" s="663"/>
      <c r="F39" s="271"/>
      <c r="G39" s="268"/>
      <c r="H39" s="269"/>
      <c r="I39" s="663"/>
      <c r="J39" s="271"/>
      <c r="K39" s="268"/>
      <c r="L39" s="269"/>
      <c r="M39" s="271"/>
      <c r="N39" s="269"/>
      <c r="O39" s="271"/>
      <c r="P39" s="269"/>
      <c r="Q39" s="270"/>
      <c r="R39" s="271"/>
      <c r="S39" s="544">
        <f t="shared" si="0"/>
        <v>0</v>
      </c>
      <c r="T39" s="545">
        <f t="shared" si="1"/>
        <v>0</v>
      </c>
    </row>
    <row r="40" spans="1:20" ht="12" customHeight="1">
      <c r="A40" s="168" t="str">
        <f>'t1'!A39</f>
        <v>POSIZIONE ECONOMICA B3</v>
      </c>
      <c r="B40" s="249" t="str">
        <f>'t1'!B39</f>
        <v>034000</v>
      </c>
      <c r="C40" s="268"/>
      <c r="D40" s="269"/>
      <c r="E40" s="663"/>
      <c r="F40" s="271"/>
      <c r="G40" s="268"/>
      <c r="H40" s="269"/>
      <c r="I40" s="663"/>
      <c r="J40" s="271"/>
      <c r="K40" s="268"/>
      <c r="L40" s="269"/>
      <c r="M40" s="271"/>
      <c r="N40" s="269"/>
      <c r="O40" s="271"/>
      <c r="P40" s="269"/>
      <c r="Q40" s="270"/>
      <c r="R40" s="271"/>
      <c r="S40" s="544">
        <f t="shared" si="0"/>
        <v>0</v>
      </c>
      <c r="T40" s="545">
        <f t="shared" si="1"/>
        <v>0</v>
      </c>
    </row>
    <row r="41" spans="1:20" ht="12" customHeight="1">
      <c r="A41" s="168" t="str">
        <f>'t1'!A40</f>
        <v>POSIZIONE ECONOMICA B2</v>
      </c>
      <c r="B41" s="249" t="str">
        <f>'t1'!B40</f>
        <v>032000</v>
      </c>
      <c r="C41" s="268"/>
      <c r="D41" s="269"/>
      <c r="E41" s="663"/>
      <c r="F41" s="271"/>
      <c r="G41" s="268"/>
      <c r="H41" s="269"/>
      <c r="I41" s="663"/>
      <c r="J41" s="271"/>
      <c r="K41" s="268"/>
      <c r="L41" s="269"/>
      <c r="M41" s="271"/>
      <c r="N41" s="269"/>
      <c r="O41" s="271"/>
      <c r="P41" s="269"/>
      <c r="Q41" s="270"/>
      <c r="R41" s="271"/>
      <c r="S41" s="544">
        <f t="shared" si="0"/>
        <v>0</v>
      </c>
      <c r="T41" s="545">
        <f t="shared" si="1"/>
        <v>0</v>
      </c>
    </row>
    <row r="42" spans="1:20" ht="12" customHeight="1">
      <c r="A42" s="168" t="str">
        <f>'t1'!A41</f>
        <v>POSIZIONE ECONOMICA DI ACCESSO B1</v>
      </c>
      <c r="B42" s="249" t="str">
        <f>'t1'!B41</f>
        <v>054000</v>
      </c>
      <c r="C42" s="268"/>
      <c r="D42" s="269"/>
      <c r="E42" s="663"/>
      <c r="F42" s="271"/>
      <c r="G42" s="268"/>
      <c r="H42" s="269"/>
      <c r="I42" s="663"/>
      <c r="J42" s="271"/>
      <c r="K42" s="268"/>
      <c r="L42" s="269"/>
      <c r="M42" s="271"/>
      <c r="N42" s="269"/>
      <c r="O42" s="271"/>
      <c r="P42" s="269"/>
      <c r="Q42" s="270"/>
      <c r="R42" s="271"/>
      <c r="S42" s="544">
        <f t="shared" si="0"/>
        <v>0</v>
      </c>
      <c r="T42" s="545">
        <f t="shared" si="1"/>
        <v>0</v>
      </c>
    </row>
    <row r="43" spans="1:20" ht="12" customHeight="1">
      <c r="A43" s="168" t="str">
        <f>'t1'!A42</f>
        <v>POSIZIONE ECONOMICA A5</v>
      </c>
      <c r="B43" s="249" t="str">
        <f>'t1'!B42</f>
        <v>0A5000</v>
      </c>
      <c r="C43" s="268"/>
      <c r="D43" s="269"/>
      <c r="E43" s="663"/>
      <c r="F43" s="271"/>
      <c r="G43" s="268"/>
      <c r="H43" s="269"/>
      <c r="I43" s="663"/>
      <c r="J43" s="271"/>
      <c r="K43" s="268"/>
      <c r="L43" s="269"/>
      <c r="M43" s="271"/>
      <c r="N43" s="269"/>
      <c r="O43" s="271"/>
      <c r="P43" s="269"/>
      <c r="Q43" s="270"/>
      <c r="R43" s="271"/>
      <c r="S43" s="544">
        <f t="shared" si="0"/>
        <v>0</v>
      </c>
      <c r="T43" s="545">
        <f t="shared" si="1"/>
        <v>0</v>
      </c>
    </row>
    <row r="44" spans="1:20" ht="12" customHeight="1">
      <c r="A44" s="168" t="str">
        <f>'t1'!A43</f>
        <v>POSIZIONE ECONOMICA A4</v>
      </c>
      <c r="B44" s="249" t="str">
        <f>'t1'!B43</f>
        <v>028000</v>
      </c>
      <c r="C44" s="268"/>
      <c r="D44" s="269"/>
      <c r="E44" s="663"/>
      <c r="F44" s="271"/>
      <c r="G44" s="268"/>
      <c r="H44" s="269"/>
      <c r="I44" s="663"/>
      <c r="J44" s="271"/>
      <c r="K44" s="268"/>
      <c r="L44" s="269"/>
      <c r="M44" s="271"/>
      <c r="N44" s="269"/>
      <c r="O44" s="271"/>
      <c r="P44" s="269"/>
      <c r="Q44" s="270"/>
      <c r="R44" s="271"/>
      <c r="S44" s="544">
        <f t="shared" si="0"/>
        <v>0</v>
      </c>
      <c r="T44" s="545">
        <f t="shared" si="1"/>
        <v>0</v>
      </c>
    </row>
    <row r="45" spans="1:20" ht="12" customHeight="1">
      <c r="A45" s="168" t="str">
        <f>'t1'!A44</f>
        <v>POSIZIONE ECONOMICA A3</v>
      </c>
      <c r="B45" s="249" t="str">
        <f>'t1'!B44</f>
        <v>027000</v>
      </c>
      <c r="C45" s="268"/>
      <c r="D45" s="269"/>
      <c r="E45" s="663"/>
      <c r="F45" s="271"/>
      <c r="G45" s="268"/>
      <c r="H45" s="269"/>
      <c r="I45" s="663"/>
      <c r="J45" s="271"/>
      <c r="K45" s="268"/>
      <c r="L45" s="269"/>
      <c r="M45" s="271"/>
      <c r="N45" s="269"/>
      <c r="O45" s="271"/>
      <c r="P45" s="269"/>
      <c r="Q45" s="270"/>
      <c r="R45" s="271"/>
      <c r="S45" s="544">
        <f t="shared" si="0"/>
        <v>0</v>
      </c>
      <c r="T45" s="545">
        <f t="shared" si="1"/>
        <v>0</v>
      </c>
    </row>
    <row r="46" spans="1:20" ht="12" customHeight="1">
      <c r="A46" s="168" t="str">
        <f>'t1'!A45</f>
        <v>POSIZIONE ECONOMICA A2</v>
      </c>
      <c r="B46" s="249" t="str">
        <f>'t1'!B45</f>
        <v>025000</v>
      </c>
      <c r="C46" s="268"/>
      <c r="D46" s="269"/>
      <c r="E46" s="663"/>
      <c r="F46" s="271"/>
      <c r="G46" s="268"/>
      <c r="H46" s="269"/>
      <c r="I46" s="663"/>
      <c r="J46" s="271"/>
      <c r="K46" s="268"/>
      <c r="L46" s="269"/>
      <c r="M46" s="271"/>
      <c r="N46" s="269"/>
      <c r="O46" s="271"/>
      <c r="P46" s="269"/>
      <c r="Q46" s="270"/>
      <c r="R46" s="271"/>
      <c r="S46" s="544">
        <f t="shared" si="0"/>
        <v>0</v>
      </c>
      <c r="T46" s="545">
        <f t="shared" si="1"/>
        <v>0</v>
      </c>
    </row>
    <row r="47" spans="1:20" ht="12" customHeight="1">
      <c r="A47" s="168" t="str">
        <f>'t1'!A46</f>
        <v>POSIZIONE ECONOMICA DI ACCESSO A1</v>
      </c>
      <c r="B47" s="249" t="str">
        <f>'t1'!B46</f>
        <v>053000</v>
      </c>
      <c r="C47" s="268"/>
      <c r="D47" s="269"/>
      <c r="E47" s="663"/>
      <c r="F47" s="271"/>
      <c r="G47" s="268"/>
      <c r="H47" s="269"/>
      <c r="I47" s="663"/>
      <c r="J47" s="271"/>
      <c r="K47" s="268"/>
      <c r="L47" s="269"/>
      <c r="M47" s="271"/>
      <c r="N47" s="269"/>
      <c r="O47" s="271"/>
      <c r="P47" s="269"/>
      <c r="Q47" s="270"/>
      <c r="R47" s="271"/>
      <c r="S47" s="544">
        <f t="shared" si="0"/>
        <v>0</v>
      </c>
      <c r="T47" s="545">
        <f t="shared" si="1"/>
        <v>0</v>
      </c>
    </row>
    <row r="48" spans="1:20" ht="12" customHeight="1">
      <c r="A48" s="168" t="str">
        <f>'t1'!A47</f>
        <v>CONTRATTISTI (a)</v>
      </c>
      <c r="B48" s="249" t="str">
        <f>'t1'!B47</f>
        <v>000061</v>
      </c>
      <c r="C48" s="268"/>
      <c r="D48" s="269"/>
      <c r="E48" s="663"/>
      <c r="F48" s="271"/>
      <c r="G48" s="268"/>
      <c r="H48" s="269"/>
      <c r="I48" s="663"/>
      <c r="J48" s="271"/>
      <c r="K48" s="268"/>
      <c r="L48" s="269"/>
      <c r="M48" s="271"/>
      <c r="N48" s="269"/>
      <c r="O48" s="271"/>
      <c r="P48" s="269"/>
      <c r="Q48" s="270"/>
      <c r="R48" s="271"/>
      <c r="S48" s="544">
        <f t="shared" si="0"/>
        <v>0</v>
      </c>
      <c r="T48" s="545">
        <f t="shared" si="1"/>
        <v>0</v>
      </c>
    </row>
    <row r="49" spans="1:20" ht="12" customHeight="1" thickBot="1">
      <c r="A49" s="168" t="str">
        <f>'t1'!A48</f>
        <v>COLLABORATORE A TEMPO DETERMIN. (b)</v>
      </c>
      <c r="B49" s="249" t="str">
        <f>'t1'!B48</f>
        <v>000096</v>
      </c>
      <c r="C49" s="268"/>
      <c r="D49" s="269"/>
      <c r="E49" s="663"/>
      <c r="F49" s="271"/>
      <c r="G49" s="268"/>
      <c r="H49" s="269"/>
      <c r="I49" s="663"/>
      <c r="J49" s="271"/>
      <c r="K49" s="268"/>
      <c r="L49" s="269"/>
      <c r="M49" s="271"/>
      <c r="N49" s="269"/>
      <c r="O49" s="271"/>
      <c r="P49" s="269"/>
      <c r="Q49" s="270"/>
      <c r="R49" s="271"/>
      <c r="S49" s="544">
        <f t="shared" si="0"/>
        <v>0</v>
      </c>
      <c r="T49" s="545">
        <f t="shared" si="1"/>
        <v>0</v>
      </c>
    </row>
    <row r="50" spans="1:20" ht="12.75" customHeight="1" thickBot="1" thickTop="1">
      <c r="A50" s="93" t="s">
        <v>78</v>
      </c>
      <c r="B50" s="94"/>
      <c r="C50" s="546">
        <f>SUM(C7:C49)</f>
        <v>0</v>
      </c>
      <c r="D50" s="548">
        <f>SUM(D7:D49)</f>
        <v>0</v>
      </c>
      <c r="E50" s="682">
        <f>SUM(E7:E49)</f>
        <v>10</v>
      </c>
      <c r="F50" s="548">
        <f>SUM(F7:F49)</f>
        <v>0</v>
      </c>
      <c r="G50" s="682">
        <f aca="true" t="shared" si="2" ref="G50:R50">SUM(G7:G49)</f>
        <v>0</v>
      </c>
      <c r="H50" s="548">
        <f t="shared" si="2"/>
        <v>0</v>
      </c>
      <c r="I50" s="682">
        <f t="shared" si="2"/>
        <v>0</v>
      </c>
      <c r="J50" s="548">
        <f t="shared" si="2"/>
        <v>0</v>
      </c>
      <c r="K50" s="682">
        <f t="shared" si="2"/>
        <v>0</v>
      </c>
      <c r="L50" s="548">
        <f t="shared" si="2"/>
        <v>0</v>
      </c>
      <c r="M50" s="682">
        <f t="shared" si="2"/>
        <v>0</v>
      </c>
      <c r="N50" s="548">
        <f t="shared" si="2"/>
        <v>0</v>
      </c>
      <c r="O50" s="682">
        <f t="shared" si="2"/>
        <v>0</v>
      </c>
      <c r="P50" s="548">
        <f t="shared" si="2"/>
        <v>0</v>
      </c>
      <c r="Q50" s="682">
        <f t="shared" si="2"/>
        <v>0</v>
      </c>
      <c r="R50" s="548">
        <f t="shared" si="2"/>
        <v>0</v>
      </c>
      <c r="S50" s="546">
        <f>SUM(S7:S49)</f>
        <v>10</v>
      </c>
      <c r="T50" s="547">
        <f>SUM(T7:T49)</f>
        <v>0</v>
      </c>
    </row>
    <row r="52" spans="1:18" ht="9.75" customHeight="1">
      <c r="A52" s="26" t="s">
        <v>192</v>
      </c>
      <c r="B52" s="7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2" s="5" customFormat="1" ht="11.25">
      <c r="A53" s="26" t="s">
        <v>448</v>
      </c>
      <c r="B53" s="7"/>
    </row>
    <row r="54" ht="11.25">
      <c r="A54" s="84" t="s">
        <v>163</v>
      </c>
    </row>
  </sheetData>
  <sheetProtection password="EA98" sheet="1" formatColumns="0" selectLockedCells="1"/>
  <mergeCells count="20">
    <mergeCell ref="M5:N5"/>
    <mergeCell ref="O5:P5"/>
    <mergeCell ref="Q5:R5"/>
    <mergeCell ref="S5:T5"/>
    <mergeCell ref="A1:R1"/>
    <mergeCell ref="G4:H4"/>
    <mergeCell ref="I4:J4"/>
    <mergeCell ref="C4:D4"/>
    <mergeCell ref="E4:F4"/>
    <mergeCell ref="C5:D5"/>
    <mergeCell ref="O4:P4"/>
    <mergeCell ref="Q4:R4"/>
    <mergeCell ref="S4:T4"/>
    <mergeCell ref="L2:T2"/>
    <mergeCell ref="E5:F5"/>
    <mergeCell ref="G5:H5"/>
    <mergeCell ref="I5:J5"/>
    <mergeCell ref="K5:L5"/>
    <mergeCell ref="K4:L4"/>
    <mergeCell ref="M4:N4"/>
  </mergeCells>
  <printOptions horizontalCentered="1" verticalCentered="1"/>
  <pageMargins left="0" right="0" top="0.1968503937007874" bottom="0.16" header="0.17" footer="0.16"/>
  <pageSetup fitToHeight="1" fitToWidth="1" horizontalDpi="600" verticalDpi="600" orientation="landscape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V51"/>
  <sheetViews>
    <sheetView showGridLines="0" zoomScalePageLayoutView="0" workbookViewId="0" topLeftCell="A1">
      <pane xSplit="2" ySplit="5" topLeftCell="E21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H34" sqref="H34"/>
    </sheetView>
  </sheetViews>
  <sheetFormatPr defaultColWidth="10.66015625" defaultRowHeight="10.5"/>
  <cols>
    <col min="1" max="1" width="37.5" style="63" customWidth="1"/>
    <col min="2" max="2" width="94.33203125" style="65" customWidth="1"/>
    <col min="3" max="20" width="8.33203125" style="63" customWidth="1"/>
    <col min="21" max="21" width="10" style="63" customWidth="1"/>
    <col min="22" max="16384" width="10.66015625" style="63" customWidth="1"/>
  </cols>
  <sheetData>
    <row r="1" spans="1:22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V1" s="370"/>
    </row>
    <row r="2" spans="1:22" ht="30" customHeight="1" thickBot="1">
      <c r="A2" s="64"/>
      <c r="P2" s="1397"/>
      <c r="Q2" s="1397"/>
      <c r="R2" s="1397"/>
      <c r="S2" s="1397"/>
      <c r="T2" s="1397"/>
      <c r="U2" s="1397"/>
      <c r="V2" s="1397"/>
    </row>
    <row r="3" spans="1:22" ht="16.5" customHeight="1" thickBot="1">
      <c r="A3" s="66"/>
      <c r="B3" s="67"/>
      <c r="C3" s="68" t="s">
        <v>271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  <c r="U3" s="69"/>
      <c r="V3" s="70"/>
    </row>
    <row r="4" spans="1:22" ht="16.5" customHeight="1" thickTop="1">
      <c r="A4" s="330" t="s">
        <v>159</v>
      </c>
      <c r="B4" s="71" t="s">
        <v>74</v>
      </c>
      <c r="C4" s="1439" t="s">
        <v>95</v>
      </c>
      <c r="D4" s="1440"/>
      <c r="E4" s="1439" t="s">
        <v>96</v>
      </c>
      <c r="F4" s="1440"/>
      <c r="G4" s="1439" t="s">
        <v>97</v>
      </c>
      <c r="H4" s="1440"/>
      <c r="I4" s="1439" t="s">
        <v>98</v>
      </c>
      <c r="J4" s="1440"/>
      <c r="K4" s="1439" t="s">
        <v>99</v>
      </c>
      <c r="L4" s="1440"/>
      <c r="M4" s="1439" t="s">
        <v>100</v>
      </c>
      <c r="N4" s="1440"/>
      <c r="O4" s="1439" t="s">
        <v>101</v>
      </c>
      <c r="P4" s="1440"/>
      <c r="Q4" s="1439" t="s">
        <v>102</v>
      </c>
      <c r="R4" s="1440"/>
      <c r="S4" s="1439" t="s">
        <v>187</v>
      </c>
      <c r="T4" s="1440"/>
      <c r="U4" s="72" t="s">
        <v>78</v>
      </c>
      <c r="V4" s="149"/>
    </row>
    <row r="5" spans="1:22" ht="12" thickBot="1">
      <c r="A5" s="73"/>
      <c r="B5" s="74"/>
      <c r="C5" s="75" t="s">
        <v>93</v>
      </c>
      <c r="D5" s="76" t="s">
        <v>94</v>
      </c>
      <c r="E5" s="75" t="s">
        <v>93</v>
      </c>
      <c r="F5" s="76" t="s">
        <v>94</v>
      </c>
      <c r="G5" s="75" t="s">
        <v>93</v>
      </c>
      <c r="H5" s="76" t="s">
        <v>94</v>
      </c>
      <c r="I5" s="75" t="s">
        <v>93</v>
      </c>
      <c r="J5" s="76" t="s">
        <v>94</v>
      </c>
      <c r="K5" s="75" t="s">
        <v>93</v>
      </c>
      <c r="L5" s="76" t="s">
        <v>94</v>
      </c>
      <c r="M5" s="75" t="s">
        <v>93</v>
      </c>
      <c r="N5" s="76" t="s">
        <v>94</v>
      </c>
      <c r="O5" s="75" t="s">
        <v>93</v>
      </c>
      <c r="P5" s="76" t="s">
        <v>94</v>
      </c>
      <c r="Q5" s="75" t="s">
        <v>93</v>
      </c>
      <c r="R5" s="76" t="s">
        <v>94</v>
      </c>
      <c r="S5" s="75" t="s">
        <v>93</v>
      </c>
      <c r="T5" s="77" t="s">
        <v>94</v>
      </c>
      <c r="U5" s="75" t="s">
        <v>93</v>
      </c>
      <c r="V5" s="77" t="s">
        <v>94</v>
      </c>
    </row>
    <row r="6" spans="1:22" ht="12.75" customHeight="1" thickTop="1">
      <c r="A6" s="25" t="str">
        <f>'t1'!A6</f>
        <v>SEGRETARIO A</v>
      </c>
      <c r="B6" s="257" t="str">
        <f>'t1'!B6</f>
        <v>0D0102</v>
      </c>
      <c r="C6" s="272"/>
      <c r="D6" s="273"/>
      <c r="E6" s="272"/>
      <c r="F6" s="273"/>
      <c r="G6" s="272">
        <v>1</v>
      </c>
      <c r="H6" s="273"/>
      <c r="I6" s="272"/>
      <c r="J6" s="273"/>
      <c r="K6" s="272"/>
      <c r="L6" s="273"/>
      <c r="M6" s="274"/>
      <c r="N6" s="275"/>
      <c r="O6" s="272"/>
      <c r="P6" s="273"/>
      <c r="Q6" s="272"/>
      <c r="R6" s="273"/>
      <c r="S6" s="276"/>
      <c r="T6" s="277"/>
      <c r="U6" s="552">
        <f>SUM(C6,E6,G6,I6,K6,M6,O6,Q6,S6)</f>
        <v>1</v>
      </c>
      <c r="V6" s="553">
        <f>SUM(D6,F6,H6,J6,L6,N6,P6,R6,T6)</f>
        <v>0</v>
      </c>
    </row>
    <row r="7" spans="1:22" ht="12.75" customHeight="1">
      <c r="A7" s="168" t="str">
        <f>'t1'!A7</f>
        <v>SEGRETARIO B</v>
      </c>
      <c r="B7" s="249" t="str">
        <f>'t1'!B7</f>
        <v>0D0103</v>
      </c>
      <c r="C7" s="272"/>
      <c r="D7" s="273"/>
      <c r="E7" s="272"/>
      <c r="F7" s="273"/>
      <c r="G7" s="272"/>
      <c r="H7" s="273"/>
      <c r="I7" s="272"/>
      <c r="J7" s="273"/>
      <c r="K7" s="272"/>
      <c r="L7" s="273"/>
      <c r="M7" s="274"/>
      <c r="N7" s="275"/>
      <c r="O7" s="272"/>
      <c r="P7" s="273"/>
      <c r="Q7" s="272"/>
      <c r="R7" s="273"/>
      <c r="S7" s="276"/>
      <c r="T7" s="278"/>
      <c r="U7" s="552">
        <f aca="true" t="shared" si="0" ref="U7:U40">SUM(C7,E7,G7,I7,K7,M7,O7,Q7,S7)</f>
        <v>0</v>
      </c>
      <c r="V7" s="554">
        <f aca="true" t="shared" si="1" ref="V7:V40">SUM(D7,F7,H7,J7,L7,N7,P7,R7,T7)</f>
        <v>0</v>
      </c>
    </row>
    <row r="8" spans="1:22" ht="12.75" customHeight="1">
      <c r="A8" s="168" t="str">
        <f>'t1'!A8</f>
        <v>SEGRETARIO C</v>
      </c>
      <c r="B8" s="249" t="str">
        <f>'t1'!B8</f>
        <v>0D0485</v>
      </c>
      <c r="C8" s="272"/>
      <c r="D8" s="273"/>
      <c r="E8" s="272"/>
      <c r="F8" s="273"/>
      <c r="G8" s="272"/>
      <c r="H8" s="273"/>
      <c r="I8" s="272"/>
      <c r="J8" s="273"/>
      <c r="K8" s="272"/>
      <c r="L8" s="273"/>
      <c r="M8" s="274"/>
      <c r="N8" s="275"/>
      <c r="O8" s="272"/>
      <c r="P8" s="273"/>
      <c r="Q8" s="272"/>
      <c r="R8" s="273"/>
      <c r="S8" s="276"/>
      <c r="T8" s="278"/>
      <c r="U8" s="552">
        <f t="shared" si="0"/>
        <v>0</v>
      </c>
      <c r="V8" s="554">
        <f t="shared" si="1"/>
        <v>0</v>
      </c>
    </row>
    <row r="9" spans="1:22" ht="12.75" customHeight="1">
      <c r="A9" s="168" t="str">
        <f>'t1'!A9</f>
        <v>SEGRETARIO GENERALE CCIAA</v>
      </c>
      <c r="B9" s="249" t="str">
        <f>'t1'!B9</f>
        <v>0D0104</v>
      </c>
      <c r="C9" s="272"/>
      <c r="D9" s="273"/>
      <c r="E9" s="272"/>
      <c r="F9" s="273"/>
      <c r="G9" s="272"/>
      <c r="H9" s="273"/>
      <c r="I9" s="272"/>
      <c r="J9" s="273"/>
      <c r="K9" s="272"/>
      <c r="L9" s="273"/>
      <c r="M9" s="274"/>
      <c r="N9" s="275"/>
      <c r="O9" s="272"/>
      <c r="P9" s="273"/>
      <c r="Q9" s="272"/>
      <c r="R9" s="273"/>
      <c r="S9" s="276"/>
      <c r="T9" s="278"/>
      <c r="U9" s="552">
        <f t="shared" si="0"/>
        <v>0</v>
      </c>
      <c r="V9" s="554">
        <f t="shared" si="1"/>
        <v>0</v>
      </c>
    </row>
    <row r="10" spans="1:22" ht="12.75" customHeight="1">
      <c r="A10" s="168" t="str">
        <f>'t1'!A10</f>
        <v>DIRETTORE  GENERALE</v>
      </c>
      <c r="B10" s="249" t="str">
        <f>'t1'!B10</f>
        <v>0D0097</v>
      </c>
      <c r="C10" s="272"/>
      <c r="D10" s="273"/>
      <c r="E10" s="272"/>
      <c r="F10" s="273"/>
      <c r="G10" s="272"/>
      <c r="H10" s="273"/>
      <c r="I10" s="272"/>
      <c r="J10" s="273"/>
      <c r="K10" s="272"/>
      <c r="L10" s="273"/>
      <c r="M10" s="274"/>
      <c r="N10" s="275"/>
      <c r="O10" s="272"/>
      <c r="P10" s="273"/>
      <c r="Q10" s="272"/>
      <c r="R10" s="273"/>
      <c r="S10" s="276"/>
      <c r="T10" s="278"/>
      <c r="U10" s="552">
        <f t="shared" si="0"/>
        <v>0</v>
      </c>
      <c r="V10" s="554">
        <f t="shared" si="1"/>
        <v>0</v>
      </c>
    </row>
    <row r="11" spans="1:22" ht="12.75" customHeight="1">
      <c r="A11" s="168" t="str">
        <f>'t1'!A11</f>
        <v>DIRIGENTE FUORI D.O.</v>
      </c>
      <c r="B11" s="249" t="str">
        <f>'t1'!B11</f>
        <v>0D0098</v>
      </c>
      <c r="C11" s="272"/>
      <c r="D11" s="273"/>
      <c r="E11" s="272"/>
      <c r="F11" s="273"/>
      <c r="G11" s="272"/>
      <c r="H11" s="273"/>
      <c r="I11" s="272"/>
      <c r="J11" s="273"/>
      <c r="K11" s="272"/>
      <c r="L11" s="273"/>
      <c r="M11" s="274"/>
      <c r="N11" s="275"/>
      <c r="O11" s="272"/>
      <c r="P11" s="273"/>
      <c r="Q11" s="272"/>
      <c r="R11" s="273"/>
      <c r="S11" s="276"/>
      <c r="T11" s="278"/>
      <c r="U11" s="552">
        <f t="shared" si="0"/>
        <v>0</v>
      </c>
      <c r="V11" s="554">
        <f t="shared" si="1"/>
        <v>0</v>
      </c>
    </row>
    <row r="12" spans="1:22" ht="12.75" customHeight="1">
      <c r="A12" s="168" t="str">
        <f>'t1'!A12</f>
        <v>ALTE SPECIALIZZ. FUORI D.O.</v>
      </c>
      <c r="B12" s="249" t="str">
        <f>'t1'!B12</f>
        <v>0D0095</v>
      </c>
      <c r="C12" s="272"/>
      <c r="D12" s="273"/>
      <c r="E12" s="272"/>
      <c r="F12" s="273"/>
      <c r="G12" s="272"/>
      <c r="H12" s="273"/>
      <c r="I12" s="272"/>
      <c r="J12" s="273"/>
      <c r="K12" s="272"/>
      <c r="L12" s="273"/>
      <c r="M12" s="274"/>
      <c r="N12" s="275"/>
      <c r="O12" s="272"/>
      <c r="P12" s="273"/>
      <c r="Q12" s="272"/>
      <c r="R12" s="273"/>
      <c r="S12" s="276"/>
      <c r="T12" s="278"/>
      <c r="U12" s="552">
        <f t="shared" si="0"/>
        <v>0</v>
      </c>
      <c r="V12" s="554">
        <f t="shared" si="1"/>
        <v>0</v>
      </c>
    </row>
    <row r="13" spans="1:22" ht="12.75" customHeight="1">
      <c r="A13" s="168" t="str">
        <f>'t1'!A13</f>
        <v>QUALIFICA DIRIGENZIALE TEMPO INDET.</v>
      </c>
      <c r="B13" s="249" t="str">
        <f>'t1'!B13</f>
        <v>0D0100</v>
      </c>
      <c r="C13" s="272"/>
      <c r="D13" s="273"/>
      <c r="E13" s="272"/>
      <c r="F13" s="273"/>
      <c r="G13" s="272"/>
      <c r="H13" s="273"/>
      <c r="I13" s="272"/>
      <c r="J13" s="273"/>
      <c r="K13" s="272"/>
      <c r="L13" s="273"/>
      <c r="M13" s="274"/>
      <c r="N13" s="275"/>
      <c r="O13" s="272"/>
      <c r="P13" s="273">
        <v>1</v>
      </c>
      <c r="Q13" s="272"/>
      <c r="R13" s="273"/>
      <c r="S13" s="276"/>
      <c r="T13" s="278"/>
      <c r="U13" s="552">
        <f t="shared" si="0"/>
        <v>0</v>
      </c>
      <c r="V13" s="554">
        <f t="shared" si="1"/>
        <v>1</v>
      </c>
    </row>
    <row r="14" spans="1:22" ht="12.75" customHeight="1">
      <c r="A14" s="168" t="str">
        <f>'t1'!A14</f>
        <v>QUALIFICA DIRIGENZIALE TEMPO DETER.</v>
      </c>
      <c r="B14" s="249" t="str">
        <f>'t1'!B14</f>
        <v>0D0099</v>
      </c>
      <c r="C14" s="272">
        <v>1</v>
      </c>
      <c r="D14" s="273"/>
      <c r="E14" s="272"/>
      <c r="F14" s="273"/>
      <c r="G14" s="272">
        <v>2</v>
      </c>
      <c r="H14" s="273"/>
      <c r="I14" s="272">
        <v>2</v>
      </c>
      <c r="J14" s="273"/>
      <c r="K14" s="272">
        <v>1</v>
      </c>
      <c r="L14" s="273"/>
      <c r="M14" s="274">
        <v>4</v>
      </c>
      <c r="N14" s="275"/>
      <c r="O14" s="272"/>
      <c r="P14" s="273"/>
      <c r="Q14" s="272"/>
      <c r="R14" s="273"/>
      <c r="S14" s="276"/>
      <c r="T14" s="278"/>
      <c r="U14" s="552">
        <f t="shared" si="0"/>
        <v>10</v>
      </c>
      <c r="V14" s="554">
        <f t="shared" si="1"/>
        <v>0</v>
      </c>
    </row>
    <row r="15" spans="1:22" ht="12.75" customHeight="1">
      <c r="A15" s="168" t="str">
        <f>'t1'!A15</f>
        <v>POSIZ. ECON. D6 - PROFILI ACCESSO D3</v>
      </c>
      <c r="B15" s="249" t="str">
        <f>'t1'!B15</f>
        <v>0D6A00</v>
      </c>
      <c r="C15" s="272"/>
      <c r="D15" s="273"/>
      <c r="E15" s="272"/>
      <c r="F15" s="273"/>
      <c r="G15" s="272"/>
      <c r="H15" s="273"/>
      <c r="I15" s="272">
        <v>3</v>
      </c>
      <c r="J15" s="273">
        <v>2</v>
      </c>
      <c r="K15" s="272"/>
      <c r="L15" s="273"/>
      <c r="M15" s="274">
        <v>2</v>
      </c>
      <c r="N15" s="275">
        <v>1</v>
      </c>
      <c r="O15" s="272"/>
      <c r="P15" s="273"/>
      <c r="Q15" s="272"/>
      <c r="R15" s="273"/>
      <c r="S15" s="276"/>
      <c r="T15" s="278"/>
      <c r="U15" s="552">
        <f t="shared" si="0"/>
        <v>5</v>
      </c>
      <c r="V15" s="554">
        <f t="shared" si="1"/>
        <v>3</v>
      </c>
    </row>
    <row r="16" spans="1:22" ht="12.75" customHeight="1">
      <c r="A16" s="168" t="str">
        <f>'t1'!A16</f>
        <v>POSIZ. ECON. D6 - PROFILO ACCESSO D1</v>
      </c>
      <c r="B16" s="249" t="str">
        <f>'t1'!B16</f>
        <v>0D6000</v>
      </c>
      <c r="C16" s="272"/>
      <c r="D16" s="273"/>
      <c r="E16" s="272"/>
      <c r="F16" s="273"/>
      <c r="G16" s="272"/>
      <c r="H16" s="273"/>
      <c r="I16" s="272"/>
      <c r="J16" s="273"/>
      <c r="K16" s="272"/>
      <c r="L16" s="273"/>
      <c r="M16" s="274"/>
      <c r="N16" s="275"/>
      <c r="O16" s="272"/>
      <c r="P16" s="273"/>
      <c r="Q16" s="272"/>
      <c r="R16" s="273"/>
      <c r="S16" s="276"/>
      <c r="T16" s="278"/>
      <c r="U16" s="552">
        <f t="shared" si="0"/>
        <v>0</v>
      </c>
      <c r="V16" s="554">
        <f t="shared" si="1"/>
        <v>0</v>
      </c>
    </row>
    <row r="17" spans="1:22" ht="12.75" customHeight="1">
      <c r="A17" s="168" t="str">
        <f>'t1'!A17</f>
        <v>POSIZ.ECON. D5 PROFILI ACCESSO D3</v>
      </c>
      <c r="B17" s="249" t="str">
        <f>'t1'!B17</f>
        <v>052486</v>
      </c>
      <c r="C17" s="272"/>
      <c r="D17" s="273"/>
      <c r="E17" s="272"/>
      <c r="F17" s="273"/>
      <c r="G17" s="272"/>
      <c r="H17" s="273">
        <v>1</v>
      </c>
      <c r="I17" s="272"/>
      <c r="J17" s="273">
        <v>1</v>
      </c>
      <c r="K17" s="272">
        <v>1</v>
      </c>
      <c r="L17" s="273"/>
      <c r="M17" s="274">
        <v>3</v>
      </c>
      <c r="N17" s="275"/>
      <c r="O17" s="272">
        <v>1</v>
      </c>
      <c r="P17" s="273"/>
      <c r="Q17" s="272">
        <v>1</v>
      </c>
      <c r="R17" s="273"/>
      <c r="S17" s="276"/>
      <c r="T17" s="278"/>
      <c r="U17" s="552">
        <f t="shared" si="0"/>
        <v>6</v>
      </c>
      <c r="V17" s="554">
        <f t="shared" si="1"/>
        <v>2</v>
      </c>
    </row>
    <row r="18" spans="1:22" ht="12.75" customHeight="1">
      <c r="A18" s="168" t="str">
        <f>'t1'!A18</f>
        <v>POSIZ.ECON. D5 PROFILI ACCESSO D1</v>
      </c>
      <c r="B18" s="249" t="str">
        <f>'t1'!B18</f>
        <v>052487</v>
      </c>
      <c r="C18" s="272"/>
      <c r="D18" s="273"/>
      <c r="E18" s="272"/>
      <c r="F18" s="273"/>
      <c r="G18" s="272"/>
      <c r="H18" s="273"/>
      <c r="I18" s="272"/>
      <c r="J18" s="273"/>
      <c r="K18" s="272"/>
      <c r="L18" s="273"/>
      <c r="M18" s="274"/>
      <c r="N18" s="275"/>
      <c r="O18" s="272">
        <v>1</v>
      </c>
      <c r="P18" s="273"/>
      <c r="Q18" s="272"/>
      <c r="R18" s="273"/>
      <c r="S18" s="276"/>
      <c r="T18" s="278"/>
      <c r="U18" s="552">
        <f t="shared" si="0"/>
        <v>1</v>
      </c>
      <c r="V18" s="554">
        <f t="shared" si="1"/>
        <v>0</v>
      </c>
    </row>
    <row r="19" spans="1:22" ht="12.75" customHeight="1">
      <c r="A19" s="168" t="str">
        <f>'t1'!A19</f>
        <v>POSIZ.ECON. D4 PROFILI ACCESSO D3</v>
      </c>
      <c r="B19" s="249" t="str">
        <f>'t1'!B19</f>
        <v>051488</v>
      </c>
      <c r="C19" s="272"/>
      <c r="D19" s="273"/>
      <c r="E19" s="272">
        <v>2</v>
      </c>
      <c r="F19" s="273">
        <v>4</v>
      </c>
      <c r="G19" s="272">
        <v>3</v>
      </c>
      <c r="H19" s="273">
        <v>1</v>
      </c>
      <c r="I19" s="272"/>
      <c r="J19" s="273"/>
      <c r="K19" s="272">
        <v>3</v>
      </c>
      <c r="L19" s="273"/>
      <c r="M19" s="274"/>
      <c r="N19" s="275"/>
      <c r="O19" s="272"/>
      <c r="P19" s="273"/>
      <c r="Q19" s="272">
        <v>1</v>
      </c>
      <c r="R19" s="273"/>
      <c r="S19" s="276"/>
      <c r="T19" s="278"/>
      <c r="U19" s="552">
        <f t="shared" si="0"/>
        <v>9</v>
      </c>
      <c r="V19" s="554">
        <f t="shared" si="1"/>
        <v>5</v>
      </c>
    </row>
    <row r="20" spans="1:22" ht="12.75" customHeight="1">
      <c r="A20" s="168" t="str">
        <f>'t1'!A20</f>
        <v>POSIZ.ECON. D4 PROFILI ACCESSO D1</v>
      </c>
      <c r="B20" s="249" t="str">
        <f>'t1'!B20</f>
        <v>051489</v>
      </c>
      <c r="C20" s="272"/>
      <c r="D20" s="273"/>
      <c r="E20" s="272"/>
      <c r="F20" s="273"/>
      <c r="G20" s="272">
        <v>2</v>
      </c>
      <c r="H20" s="273"/>
      <c r="I20" s="272"/>
      <c r="J20" s="273"/>
      <c r="K20" s="272">
        <v>1</v>
      </c>
      <c r="L20" s="273"/>
      <c r="M20" s="274"/>
      <c r="N20" s="275"/>
      <c r="O20" s="272"/>
      <c r="P20" s="273"/>
      <c r="Q20" s="272"/>
      <c r="R20" s="273"/>
      <c r="S20" s="276"/>
      <c r="T20" s="278"/>
      <c r="U20" s="552">
        <f t="shared" si="0"/>
        <v>3</v>
      </c>
      <c r="V20" s="554">
        <f t="shared" si="1"/>
        <v>0</v>
      </c>
    </row>
    <row r="21" spans="1:22" ht="12.75" customHeight="1">
      <c r="A21" s="168" t="str">
        <f>'t1'!A21</f>
        <v>POSIZIONE ECONOMICA DI ACCESSO D3</v>
      </c>
      <c r="B21" s="249" t="str">
        <f>'t1'!B21</f>
        <v>058000</v>
      </c>
      <c r="C21" s="272"/>
      <c r="D21" s="273"/>
      <c r="E21" s="272">
        <v>1</v>
      </c>
      <c r="F21" s="273">
        <v>1</v>
      </c>
      <c r="G21" s="272"/>
      <c r="H21" s="273"/>
      <c r="I21" s="272"/>
      <c r="J21" s="273"/>
      <c r="K21" s="272"/>
      <c r="L21" s="273"/>
      <c r="M21" s="274"/>
      <c r="N21" s="275"/>
      <c r="O21" s="272"/>
      <c r="P21" s="273"/>
      <c r="Q21" s="272"/>
      <c r="R21" s="273"/>
      <c r="S21" s="276"/>
      <c r="T21" s="278"/>
      <c r="U21" s="552">
        <f t="shared" si="0"/>
        <v>1</v>
      </c>
      <c r="V21" s="554">
        <f t="shared" si="1"/>
        <v>1</v>
      </c>
    </row>
    <row r="22" spans="1:22" ht="12.75" customHeight="1">
      <c r="A22" s="168" t="str">
        <f>'t1'!A22</f>
        <v>POSIZIONE ECONOMICA D3</v>
      </c>
      <c r="B22" s="249" t="str">
        <f>'t1'!B22</f>
        <v>050000</v>
      </c>
      <c r="C22" s="272"/>
      <c r="D22" s="273"/>
      <c r="E22" s="272">
        <v>1</v>
      </c>
      <c r="F22" s="273"/>
      <c r="G22" s="272"/>
      <c r="H22" s="273">
        <v>1</v>
      </c>
      <c r="I22" s="272">
        <v>1</v>
      </c>
      <c r="J22" s="273">
        <v>1</v>
      </c>
      <c r="K22" s="272">
        <v>5</v>
      </c>
      <c r="L22" s="273"/>
      <c r="M22" s="274">
        <v>1</v>
      </c>
      <c r="N22" s="275">
        <v>2</v>
      </c>
      <c r="O22" s="272"/>
      <c r="P22" s="273"/>
      <c r="Q22" s="272"/>
      <c r="R22" s="273"/>
      <c r="S22" s="276"/>
      <c r="T22" s="278"/>
      <c r="U22" s="552">
        <f t="shared" si="0"/>
        <v>8</v>
      </c>
      <c r="V22" s="554">
        <f t="shared" si="1"/>
        <v>4</v>
      </c>
    </row>
    <row r="23" spans="1:22" ht="12.75" customHeight="1">
      <c r="A23" s="168" t="str">
        <f>'t1'!A23</f>
        <v>POSIZIONE ECONOMICA D2</v>
      </c>
      <c r="B23" s="249" t="str">
        <f>'t1'!B23</f>
        <v>049000</v>
      </c>
      <c r="C23" s="272"/>
      <c r="D23" s="273"/>
      <c r="E23" s="272">
        <v>3</v>
      </c>
      <c r="F23" s="273"/>
      <c r="G23" s="272"/>
      <c r="H23" s="273">
        <v>2</v>
      </c>
      <c r="I23" s="272">
        <v>3</v>
      </c>
      <c r="J23" s="273">
        <v>1</v>
      </c>
      <c r="K23" s="272">
        <v>27</v>
      </c>
      <c r="L23" s="273">
        <v>3</v>
      </c>
      <c r="M23" s="274"/>
      <c r="N23" s="275"/>
      <c r="O23" s="272"/>
      <c r="P23" s="273"/>
      <c r="Q23" s="272"/>
      <c r="R23" s="273">
        <v>1</v>
      </c>
      <c r="S23" s="276"/>
      <c r="T23" s="278"/>
      <c r="U23" s="552">
        <f t="shared" si="0"/>
        <v>33</v>
      </c>
      <c r="V23" s="554">
        <f t="shared" si="1"/>
        <v>7</v>
      </c>
    </row>
    <row r="24" spans="1:22" ht="12.75" customHeight="1">
      <c r="A24" s="168" t="str">
        <f>'t1'!A24</f>
        <v>POSIZIONE ECONOMICA DI ACCESSO D1</v>
      </c>
      <c r="B24" s="249" t="str">
        <f>'t1'!B24</f>
        <v>057000</v>
      </c>
      <c r="C24" s="272">
        <v>1</v>
      </c>
      <c r="D24" s="273">
        <v>1</v>
      </c>
      <c r="E24" s="272"/>
      <c r="F24" s="273"/>
      <c r="G24" s="272"/>
      <c r="H24" s="273"/>
      <c r="I24" s="272"/>
      <c r="J24" s="273"/>
      <c r="K24" s="272">
        <v>1</v>
      </c>
      <c r="L24" s="273"/>
      <c r="M24" s="274"/>
      <c r="N24" s="275"/>
      <c r="O24" s="272"/>
      <c r="P24" s="273"/>
      <c r="Q24" s="272"/>
      <c r="R24" s="273"/>
      <c r="S24" s="276"/>
      <c r="T24" s="278"/>
      <c r="U24" s="552">
        <f t="shared" si="0"/>
        <v>2</v>
      </c>
      <c r="V24" s="554">
        <f t="shared" si="1"/>
        <v>1</v>
      </c>
    </row>
    <row r="25" spans="1:22" ht="12.75" customHeight="1">
      <c r="A25" s="168" t="str">
        <f>'t1'!A25</f>
        <v>POSIZIONE ECONOMICA C5</v>
      </c>
      <c r="B25" s="249" t="str">
        <f>'t1'!B25</f>
        <v>046000</v>
      </c>
      <c r="C25" s="272"/>
      <c r="D25" s="273"/>
      <c r="E25" s="272">
        <v>1</v>
      </c>
      <c r="F25" s="273"/>
      <c r="G25" s="272">
        <v>1</v>
      </c>
      <c r="H25" s="273"/>
      <c r="I25" s="272"/>
      <c r="J25" s="273"/>
      <c r="K25" s="272">
        <v>1</v>
      </c>
      <c r="L25" s="273"/>
      <c r="M25" s="274">
        <v>1</v>
      </c>
      <c r="N25" s="275"/>
      <c r="O25" s="272"/>
      <c r="P25" s="273"/>
      <c r="Q25" s="272"/>
      <c r="R25" s="273"/>
      <c r="S25" s="276"/>
      <c r="T25" s="278"/>
      <c r="U25" s="552">
        <f t="shared" si="0"/>
        <v>4</v>
      </c>
      <c r="V25" s="554">
        <f t="shared" si="1"/>
        <v>0</v>
      </c>
    </row>
    <row r="26" spans="1:22" ht="12.75" customHeight="1">
      <c r="A26" s="168" t="str">
        <f>'t1'!A26</f>
        <v>POSIZIONE ECONOMICA C4</v>
      </c>
      <c r="B26" s="249" t="str">
        <f>'t1'!B26</f>
        <v>045000</v>
      </c>
      <c r="C26" s="272"/>
      <c r="D26" s="273"/>
      <c r="E26" s="272">
        <v>1</v>
      </c>
      <c r="F26" s="273">
        <v>2</v>
      </c>
      <c r="G26" s="272">
        <v>4</v>
      </c>
      <c r="H26" s="273">
        <v>1</v>
      </c>
      <c r="I26" s="272">
        <v>7</v>
      </c>
      <c r="J26" s="273"/>
      <c r="K26" s="272">
        <v>2</v>
      </c>
      <c r="L26" s="273"/>
      <c r="M26" s="274">
        <v>1</v>
      </c>
      <c r="N26" s="275"/>
      <c r="O26" s="272">
        <v>2</v>
      </c>
      <c r="P26" s="273"/>
      <c r="Q26" s="272"/>
      <c r="R26" s="273"/>
      <c r="S26" s="276"/>
      <c r="T26" s="278"/>
      <c r="U26" s="552">
        <f t="shared" si="0"/>
        <v>17</v>
      </c>
      <c r="V26" s="554">
        <f t="shared" si="1"/>
        <v>3</v>
      </c>
    </row>
    <row r="27" spans="1:22" ht="12.75" customHeight="1">
      <c r="A27" s="168" t="str">
        <f>'t1'!A27</f>
        <v>POSIZIONE ECONOMICA C3</v>
      </c>
      <c r="B27" s="249" t="str">
        <f>'t1'!B27</f>
        <v>043000</v>
      </c>
      <c r="C27" s="272"/>
      <c r="D27" s="273"/>
      <c r="E27" s="272">
        <v>1</v>
      </c>
      <c r="F27" s="273">
        <v>1</v>
      </c>
      <c r="G27" s="272">
        <v>2</v>
      </c>
      <c r="H27" s="273">
        <v>5</v>
      </c>
      <c r="I27" s="272">
        <v>5</v>
      </c>
      <c r="J27" s="273">
        <v>6</v>
      </c>
      <c r="K27" s="272">
        <v>7</v>
      </c>
      <c r="L27" s="273">
        <v>1</v>
      </c>
      <c r="M27" s="274">
        <v>2</v>
      </c>
      <c r="N27" s="275"/>
      <c r="O27" s="272">
        <v>1</v>
      </c>
      <c r="P27" s="273"/>
      <c r="Q27" s="272"/>
      <c r="R27" s="273"/>
      <c r="S27" s="276"/>
      <c r="T27" s="278"/>
      <c r="U27" s="552">
        <f t="shared" si="0"/>
        <v>18</v>
      </c>
      <c r="V27" s="554">
        <f t="shared" si="1"/>
        <v>13</v>
      </c>
    </row>
    <row r="28" spans="1:22" ht="12.75" customHeight="1">
      <c r="A28" s="168" t="str">
        <f>'t1'!A28</f>
        <v>POSIZIONE ECONOMICA C2</v>
      </c>
      <c r="B28" s="249" t="str">
        <f>'t1'!B28</f>
        <v>042000</v>
      </c>
      <c r="C28" s="272">
        <v>2</v>
      </c>
      <c r="D28" s="273"/>
      <c r="E28" s="272">
        <v>2</v>
      </c>
      <c r="F28" s="273">
        <v>4</v>
      </c>
      <c r="G28" s="272">
        <v>3</v>
      </c>
      <c r="H28" s="273">
        <v>2</v>
      </c>
      <c r="I28" s="272">
        <v>11</v>
      </c>
      <c r="J28" s="273">
        <v>8</v>
      </c>
      <c r="K28" s="272">
        <v>4</v>
      </c>
      <c r="L28" s="273">
        <v>1</v>
      </c>
      <c r="M28" s="274"/>
      <c r="N28" s="275">
        <v>1</v>
      </c>
      <c r="O28" s="272">
        <v>1</v>
      </c>
      <c r="P28" s="273"/>
      <c r="Q28" s="272"/>
      <c r="R28" s="273"/>
      <c r="S28" s="276"/>
      <c r="T28" s="278"/>
      <c r="U28" s="552">
        <f t="shared" si="0"/>
        <v>23</v>
      </c>
      <c r="V28" s="554">
        <f t="shared" si="1"/>
        <v>16</v>
      </c>
    </row>
    <row r="29" spans="1:22" ht="12.75" customHeight="1">
      <c r="A29" s="168" t="str">
        <f>'t1'!A29</f>
        <v>POSIZIONE ECONOMICA DI ACCESSO C1</v>
      </c>
      <c r="B29" s="249" t="str">
        <f>'t1'!B29</f>
        <v>056000</v>
      </c>
      <c r="C29" s="272"/>
      <c r="D29" s="273"/>
      <c r="E29" s="272"/>
      <c r="F29" s="273"/>
      <c r="G29" s="272"/>
      <c r="H29" s="273"/>
      <c r="I29" s="272"/>
      <c r="J29" s="273"/>
      <c r="K29" s="272"/>
      <c r="L29" s="273"/>
      <c r="M29" s="274"/>
      <c r="N29" s="275"/>
      <c r="O29" s="272"/>
      <c r="P29" s="273"/>
      <c r="Q29" s="272"/>
      <c r="R29" s="273"/>
      <c r="S29" s="276"/>
      <c r="T29" s="278"/>
      <c r="U29" s="552">
        <f t="shared" si="0"/>
        <v>0</v>
      </c>
      <c r="V29" s="554">
        <f t="shared" si="1"/>
        <v>0</v>
      </c>
    </row>
    <row r="30" spans="1:22" ht="12.75" customHeight="1">
      <c r="A30" s="168" t="str">
        <f>'t1'!A30</f>
        <v>POSIZ. ECON. B7 - PROFILO ACCESSO B3</v>
      </c>
      <c r="B30" s="249" t="str">
        <f>'t1'!B30</f>
        <v>0B7A00</v>
      </c>
      <c r="C30" s="272"/>
      <c r="D30" s="273"/>
      <c r="E30" s="272"/>
      <c r="F30" s="273"/>
      <c r="G30" s="272"/>
      <c r="H30" s="273"/>
      <c r="I30" s="272"/>
      <c r="J30" s="273"/>
      <c r="K30" s="272"/>
      <c r="L30" s="273"/>
      <c r="M30" s="274"/>
      <c r="N30" s="275"/>
      <c r="O30" s="272"/>
      <c r="P30" s="273"/>
      <c r="Q30" s="272"/>
      <c r="R30" s="273"/>
      <c r="S30" s="276"/>
      <c r="T30" s="278"/>
      <c r="U30" s="552">
        <f t="shared" si="0"/>
        <v>0</v>
      </c>
      <c r="V30" s="554">
        <f t="shared" si="1"/>
        <v>0</v>
      </c>
    </row>
    <row r="31" spans="1:22" ht="12.75" customHeight="1">
      <c r="A31" s="168" t="str">
        <f>'t1'!A31</f>
        <v>POSIZ. ECON. B7 - PROFILO  ACCESSO B1</v>
      </c>
      <c r="B31" s="249" t="str">
        <f>'t1'!B31</f>
        <v>0B7000</v>
      </c>
      <c r="C31" s="272"/>
      <c r="D31" s="273"/>
      <c r="E31" s="272"/>
      <c r="F31" s="273"/>
      <c r="G31" s="272"/>
      <c r="H31" s="273"/>
      <c r="I31" s="272"/>
      <c r="J31" s="273"/>
      <c r="K31" s="272"/>
      <c r="L31" s="273"/>
      <c r="M31" s="274"/>
      <c r="N31" s="275"/>
      <c r="O31" s="272"/>
      <c r="P31" s="273"/>
      <c r="Q31" s="272"/>
      <c r="R31" s="273"/>
      <c r="S31" s="276"/>
      <c r="T31" s="278"/>
      <c r="U31" s="552">
        <f t="shared" si="0"/>
        <v>0</v>
      </c>
      <c r="V31" s="554">
        <f t="shared" si="1"/>
        <v>0</v>
      </c>
    </row>
    <row r="32" spans="1:22" ht="12.75" customHeight="1">
      <c r="A32" s="168" t="str">
        <f>'t1'!A32</f>
        <v>POSIZ.ECON. B6 PROFILI ACCESSO B3</v>
      </c>
      <c r="B32" s="249" t="str">
        <f>'t1'!B32</f>
        <v>038490</v>
      </c>
      <c r="C32" s="272"/>
      <c r="D32" s="273"/>
      <c r="E32" s="272"/>
      <c r="F32" s="273"/>
      <c r="G32" s="272"/>
      <c r="H32" s="273"/>
      <c r="I32" s="272"/>
      <c r="J32" s="273"/>
      <c r="K32" s="272"/>
      <c r="L32" s="273"/>
      <c r="M32" s="274"/>
      <c r="N32" s="275"/>
      <c r="O32" s="272"/>
      <c r="P32" s="273"/>
      <c r="Q32" s="272"/>
      <c r="R32" s="273"/>
      <c r="S32" s="276"/>
      <c r="T32" s="278"/>
      <c r="U32" s="552">
        <f t="shared" si="0"/>
        <v>0</v>
      </c>
      <c r="V32" s="554">
        <f t="shared" si="1"/>
        <v>0</v>
      </c>
    </row>
    <row r="33" spans="1:22" ht="12.75" customHeight="1">
      <c r="A33" s="168" t="str">
        <f>'t1'!A33</f>
        <v>POSIZ.ECON. B6 PROFILI ACCESSO B1</v>
      </c>
      <c r="B33" s="249" t="str">
        <f>'t1'!B33</f>
        <v>038491</v>
      </c>
      <c r="C33" s="272"/>
      <c r="D33" s="273"/>
      <c r="E33" s="272"/>
      <c r="F33" s="273"/>
      <c r="G33" s="272"/>
      <c r="H33" s="273"/>
      <c r="I33" s="272"/>
      <c r="J33" s="273"/>
      <c r="K33" s="272"/>
      <c r="L33" s="273"/>
      <c r="M33" s="274"/>
      <c r="N33" s="275"/>
      <c r="O33" s="272"/>
      <c r="P33" s="273"/>
      <c r="Q33" s="272"/>
      <c r="R33" s="273"/>
      <c r="S33" s="276"/>
      <c r="T33" s="278"/>
      <c r="U33" s="552">
        <f t="shared" si="0"/>
        <v>0</v>
      </c>
      <c r="V33" s="554">
        <f t="shared" si="1"/>
        <v>0</v>
      </c>
    </row>
    <row r="34" spans="1:22" ht="12.75" customHeight="1">
      <c r="A34" s="168" t="str">
        <f>'t1'!A34</f>
        <v>POSIZ.ECON. B5 PROFILI ACCESSO B3</v>
      </c>
      <c r="B34" s="249" t="str">
        <f>'t1'!B34</f>
        <v>037492</v>
      </c>
      <c r="C34" s="279"/>
      <c r="D34" s="280"/>
      <c r="E34" s="279"/>
      <c r="F34" s="280"/>
      <c r="G34" s="279">
        <v>1</v>
      </c>
      <c r="H34" s="280"/>
      <c r="I34" s="279"/>
      <c r="J34" s="280"/>
      <c r="K34" s="279"/>
      <c r="L34" s="280"/>
      <c r="M34" s="281"/>
      <c r="N34" s="282"/>
      <c r="O34" s="279"/>
      <c r="P34" s="280"/>
      <c r="Q34" s="279"/>
      <c r="R34" s="280"/>
      <c r="S34" s="283"/>
      <c r="T34" s="284"/>
      <c r="U34" s="552">
        <f t="shared" si="0"/>
        <v>1</v>
      </c>
      <c r="V34" s="554">
        <f t="shared" si="1"/>
        <v>0</v>
      </c>
    </row>
    <row r="35" spans="1:22" ht="12.75" customHeight="1">
      <c r="A35" s="168" t="str">
        <f>'t1'!A35</f>
        <v>POSIZ.ECON. B5 PROFILI ACCESSO B1</v>
      </c>
      <c r="B35" s="249" t="str">
        <f>'t1'!B35</f>
        <v>037493</v>
      </c>
      <c r="C35" s="279"/>
      <c r="D35" s="280"/>
      <c r="E35" s="279"/>
      <c r="F35" s="280"/>
      <c r="G35" s="279"/>
      <c r="H35" s="280"/>
      <c r="I35" s="279"/>
      <c r="J35" s="280"/>
      <c r="K35" s="279"/>
      <c r="L35" s="280"/>
      <c r="M35" s="281"/>
      <c r="N35" s="282"/>
      <c r="O35" s="279"/>
      <c r="P35" s="280"/>
      <c r="Q35" s="279"/>
      <c r="R35" s="280"/>
      <c r="S35" s="283"/>
      <c r="T35" s="284"/>
      <c r="U35" s="552">
        <f t="shared" si="0"/>
        <v>0</v>
      </c>
      <c r="V35" s="554">
        <f t="shared" si="1"/>
        <v>0</v>
      </c>
    </row>
    <row r="36" spans="1:22" ht="12.75" customHeight="1">
      <c r="A36" s="168" t="str">
        <f>'t1'!A36</f>
        <v>POSIZ.ECON. B4 PROFILI ACCESSO B3</v>
      </c>
      <c r="B36" s="249" t="str">
        <f>'t1'!B36</f>
        <v>036494</v>
      </c>
      <c r="C36" s="279">
        <v>1</v>
      </c>
      <c r="D36" s="280"/>
      <c r="E36" s="279">
        <v>2</v>
      </c>
      <c r="F36" s="280"/>
      <c r="G36" s="279">
        <v>5</v>
      </c>
      <c r="H36" s="280"/>
      <c r="I36" s="279">
        <v>20</v>
      </c>
      <c r="J36" s="280"/>
      <c r="K36" s="279">
        <v>2</v>
      </c>
      <c r="L36" s="280"/>
      <c r="M36" s="281"/>
      <c r="N36" s="282"/>
      <c r="O36" s="279"/>
      <c r="P36" s="280"/>
      <c r="Q36" s="279"/>
      <c r="R36" s="280"/>
      <c r="S36" s="283"/>
      <c r="T36" s="284"/>
      <c r="U36" s="552">
        <f t="shared" si="0"/>
        <v>30</v>
      </c>
      <c r="V36" s="554">
        <f t="shared" si="1"/>
        <v>0</v>
      </c>
    </row>
    <row r="37" spans="1:22" ht="12.75" customHeight="1">
      <c r="A37" s="168" t="str">
        <f>'t1'!A37</f>
        <v>POSIZ.ECON. B4 PROFILI ACCESSO B1</v>
      </c>
      <c r="B37" s="249" t="str">
        <f>'t1'!B37</f>
        <v>036495</v>
      </c>
      <c r="C37" s="279"/>
      <c r="D37" s="280"/>
      <c r="E37" s="279">
        <v>1</v>
      </c>
      <c r="F37" s="280"/>
      <c r="G37" s="279"/>
      <c r="H37" s="280"/>
      <c r="I37" s="279"/>
      <c r="J37" s="280"/>
      <c r="K37" s="279"/>
      <c r="L37" s="280">
        <v>1</v>
      </c>
      <c r="M37" s="281"/>
      <c r="N37" s="282"/>
      <c r="O37" s="279"/>
      <c r="P37" s="280"/>
      <c r="Q37" s="279"/>
      <c r="R37" s="280"/>
      <c r="S37" s="283"/>
      <c r="T37" s="284"/>
      <c r="U37" s="552">
        <f t="shared" si="0"/>
        <v>1</v>
      </c>
      <c r="V37" s="554">
        <f t="shared" si="1"/>
        <v>1</v>
      </c>
    </row>
    <row r="38" spans="1:22" ht="12.75" customHeight="1">
      <c r="A38" s="168" t="str">
        <f>'t1'!A38</f>
        <v>POSIZIONE ECONOMICA DI ACCESSO B3</v>
      </c>
      <c r="B38" s="249" t="str">
        <f>'t1'!B38</f>
        <v>055000</v>
      </c>
      <c r="C38" s="279"/>
      <c r="D38" s="280"/>
      <c r="E38" s="279"/>
      <c r="F38" s="280"/>
      <c r="G38" s="279">
        <v>1</v>
      </c>
      <c r="H38" s="280"/>
      <c r="I38" s="279">
        <v>10</v>
      </c>
      <c r="J38" s="280"/>
      <c r="K38" s="279"/>
      <c r="L38" s="280"/>
      <c r="M38" s="281"/>
      <c r="N38" s="282"/>
      <c r="O38" s="279">
        <v>1</v>
      </c>
      <c r="P38" s="280"/>
      <c r="Q38" s="279"/>
      <c r="R38" s="280"/>
      <c r="S38" s="283"/>
      <c r="T38" s="284"/>
      <c r="U38" s="552">
        <f t="shared" si="0"/>
        <v>12</v>
      </c>
      <c r="V38" s="554">
        <f t="shared" si="1"/>
        <v>0</v>
      </c>
    </row>
    <row r="39" spans="1:22" ht="12.75" customHeight="1">
      <c r="A39" s="168" t="str">
        <f>'t1'!A39</f>
        <v>POSIZIONE ECONOMICA B3</v>
      </c>
      <c r="B39" s="249" t="str">
        <f>'t1'!B39</f>
        <v>034000</v>
      </c>
      <c r="C39" s="279"/>
      <c r="D39" s="280"/>
      <c r="E39" s="279">
        <v>1</v>
      </c>
      <c r="F39" s="280"/>
      <c r="G39" s="279">
        <v>1</v>
      </c>
      <c r="H39" s="280">
        <v>2</v>
      </c>
      <c r="I39" s="279">
        <v>5</v>
      </c>
      <c r="J39" s="280">
        <v>2</v>
      </c>
      <c r="K39" s="279">
        <v>1</v>
      </c>
      <c r="L39" s="280"/>
      <c r="M39" s="281"/>
      <c r="N39" s="282">
        <v>1</v>
      </c>
      <c r="O39" s="279"/>
      <c r="P39" s="280"/>
      <c r="Q39" s="279"/>
      <c r="R39" s="280"/>
      <c r="S39" s="283"/>
      <c r="T39" s="284"/>
      <c r="U39" s="552">
        <f t="shared" si="0"/>
        <v>8</v>
      </c>
      <c r="V39" s="554">
        <f t="shared" si="1"/>
        <v>5</v>
      </c>
    </row>
    <row r="40" spans="1:22" ht="12.75" customHeight="1">
      <c r="A40" s="168" t="str">
        <f>'t1'!A40</f>
        <v>POSIZIONE ECONOMICA B2</v>
      </c>
      <c r="B40" s="249" t="str">
        <f>'t1'!B40</f>
        <v>032000</v>
      </c>
      <c r="C40" s="279"/>
      <c r="D40" s="280"/>
      <c r="E40" s="279"/>
      <c r="F40" s="280">
        <v>1</v>
      </c>
      <c r="G40" s="279">
        <v>3</v>
      </c>
      <c r="H40" s="280">
        <v>2</v>
      </c>
      <c r="I40" s="279">
        <v>1</v>
      </c>
      <c r="J40" s="280">
        <v>3</v>
      </c>
      <c r="K40" s="279"/>
      <c r="L40" s="280"/>
      <c r="M40" s="281"/>
      <c r="N40" s="282"/>
      <c r="O40" s="279"/>
      <c r="P40" s="280"/>
      <c r="Q40" s="279"/>
      <c r="R40" s="280"/>
      <c r="S40" s="283"/>
      <c r="T40" s="284"/>
      <c r="U40" s="552">
        <f t="shared" si="0"/>
        <v>4</v>
      </c>
      <c r="V40" s="554">
        <f t="shared" si="1"/>
        <v>6</v>
      </c>
    </row>
    <row r="41" spans="1:22" ht="12.75" customHeight="1">
      <c r="A41" s="168" t="str">
        <f>'t1'!A41</f>
        <v>POSIZIONE ECONOMICA DI ACCESSO B1</v>
      </c>
      <c r="B41" s="249" t="str">
        <f>'t1'!B41</f>
        <v>054000</v>
      </c>
      <c r="C41" s="279"/>
      <c r="D41" s="280"/>
      <c r="E41" s="279"/>
      <c r="F41" s="280">
        <v>1</v>
      </c>
      <c r="G41" s="279"/>
      <c r="H41" s="280"/>
      <c r="I41" s="279"/>
      <c r="J41" s="280"/>
      <c r="K41" s="279"/>
      <c r="L41" s="280"/>
      <c r="M41" s="281"/>
      <c r="N41" s="282"/>
      <c r="O41" s="279"/>
      <c r="P41" s="280"/>
      <c r="Q41" s="279"/>
      <c r="R41" s="280"/>
      <c r="S41" s="283"/>
      <c r="T41" s="284"/>
      <c r="U41" s="552">
        <f aca="true" t="shared" si="2" ref="U41:U48">SUM(C41,E41,G41,I41,K41,M41,O41,Q41,S41)</f>
        <v>0</v>
      </c>
      <c r="V41" s="554">
        <f aca="true" t="shared" si="3" ref="V41:V48">SUM(D41,F41,H41,J41,L41,N41,P41,R41,T41)</f>
        <v>1</v>
      </c>
    </row>
    <row r="42" spans="1:22" ht="12.75" customHeight="1">
      <c r="A42" s="168" t="str">
        <f>'t1'!A42</f>
        <v>POSIZIONE ECONOMICA A5</v>
      </c>
      <c r="B42" s="249" t="str">
        <f>'t1'!B42</f>
        <v>0A5000</v>
      </c>
      <c r="C42" s="279"/>
      <c r="D42" s="280"/>
      <c r="E42" s="279"/>
      <c r="F42" s="280"/>
      <c r="G42" s="279"/>
      <c r="H42" s="280"/>
      <c r="I42" s="279"/>
      <c r="J42" s="280"/>
      <c r="K42" s="279"/>
      <c r="L42" s="280"/>
      <c r="M42" s="281"/>
      <c r="N42" s="282"/>
      <c r="O42" s="279"/>
      <c r="P42" s="280"/>
      <c r="Q42" s="279"/>
      <c r="R42" s="280"/>
      <c r="S42" s="283"/>
      <c r="T42" s="284"/>
      <c r="U42" s="552">
        <f t="shared" si="2"/>
        <v>0</v>
      </c>
      <c r="V42" s="554">
        <f t="shared" si="3"/>
        <v>0</v>
      </c>
    </row>
    <row r="43" spans="1:22" ht="12.75" customHeight="1">
      <c r="A43" s="168" t="str">
        <f>'t1'!A43</f>
        <v>POSIZIONE ECONOMICA A4</v>
      </c>
      <c r="B43" s="249" t="str">
        <f>'t1'!B43</f>
        <v>028000</v>
      </c>
      <c r="C43" s="279"/>
      <c r="D43" s="280"/>
      <c r="E43" s="279"/>
      <c r="F43" s="280"/>
      <c r="G43" s="279"/>
      <c r="H43" s="280"/>
      <c r="I43" s="279"/>
      <c r="J43" s="280"/>
      <c r="K43" s="279"/>
      <c r="L43" s="280"/>
      <c r="M43" s="281"/>
      <c r="N43" s="282"/>
      <c r="O43" s="279"/>
      <c r="P43" s="280"/>
      <c r="Q43" s="279"/>
      <c r="R43" s="280"/>
      <c r="S43" s="283"/>
      <c r="T43" s="284"/>
      <c r="U43" s="552">
        <f t="shared" si="2"/>
        <v>0</v>
      </c>
      <c r="V43" s="554">
        <f t="shared" si="3"/>
        <v>0</v>
      </c>
    </row>
    <row r="44" spans="1:22" ht="12.75" customHeight="1">
      <c r="A44" s="168" t="str">
        <f>'t1'!A44</f>
        <v>POSIZIONE ECONOMICA A3</v>
      </c>
      <c r="B44" s="249" t="str">
        <f>'t1'!B44</f>
        <v>027000</v>
      </c>
      <c r="C44" s="279"/>
      <c r="D44" s="280"/>
      <c r="E44" s="279"/>
      <c r="F44" s="280"/>
      <c r="G44" s="279"/>
      <c r="H44" s="280"/>
      <c r="I44" s="279"/>
      <c r="J44" s="280"/>
      <c r="K44" s="279"/>
      <c r="L44" s="280"/>
      <c r="M44" s="281"/>
      <c r="N44" s="282"/>
      <c r="O44" s="279"/>
      <c r="P44" s="280"/>
      <c r="Q44" s="279"/>
      <c r="R44" s="280"/>
      <c r="S44" s="283"/>
      <c r="T44" s="284"/>
      <c r="U44" s="552">
        <f t="shared" si="2"/>
        <v>0</v>
      </c>
      <c r="V44" s="554">
        <f t="shared" si="3"/>
        <v>0</v>
      </c>
    </row>
    <row r="45" spans="1:22" ht="12.75" customHeight="1">
      <c r="A45" s="168" t="str">
        <f>'t1'!A45</f>
        <v>POSIZIONE ECONOMICA A2</v>
      </c>
      <c r="B45" s="249" t="str">
        <f>'t1'!B45</f>
        <v>025000</v>
      </c>
      <c r="C45" s="279"/>
      <c r="D45" s="280"/>
      <c r="E45" s="279"/>
      <c r="F45" s="280"/>
      <c r="G45" s="279"/>
      <c r="H45" s="280"/>
      <c r="I45" s="279"/>
      <c r="J45" s="280"/>
      <c r="K45" s="279"/>
      <c r="L45" s="280"/>
      <c r="M45" s="281"/>
      <c r="N45" s="282"/>
      <c r="O45" s="279"/>
      <c r="P45" s="280"/>
      <c r="Q45" s="279"/>
      <c r="R45" s="280"/>
      <c r="S45" s="283"/>
      <c r="T45" s="284"/>
      <c r="U45" s="552">
        <f t="shared" si="2"/>
        <v>0</v>
      </c>
      <c r="V45" s="554">
        <f t="shared" si="3"/>
        <v>0</v>
      </c>
    </row>
    <row r="46" spans="1:22" ht="12.75" customHeight="1">
      <c r="A46" s="168" t="str">
        <f>'t1'!A46</f>
        <v>POSIZIONE ECONOMICA DI ACCESSO A1</v>
      </c>
      <c r="B46" s="249" t="str">
        <f>'t1'!B46</f>
        <v>053000</v>
      </c>
      <c r="C46" s="279">
        <v>1</v>
      </c>
      <c r="D46" s="280"/>
      <c r="E46" s="279"/>
      <c r="F46" s="280"/>
      <c r="G46" s="279"/>
      <c r="H46" s="280"/>
      <c r="I46" s="279"/>
      <c r="J46" s="280"/>
      <c r="K46" s="279"/>
      <c r="L46" s="280"/>
      <c r="M46" s="281"/>
      <c r="N46" s="282"/>
      <c r="O46" s="279"/>
      <c r="P46" s="280"/>
      <c r="Q46" s="279"/>
      <c r="R46" s="280"/>
      <c r="S46" s="283"/>
      <c r="T46" s="284"/>
      <c r="U46" s="552">
        <f t="shared" si="2"/>
        <v>1</v>
      </c>
      <c r="V46" s="554">
        <f t="shared" si="3"/>
        <v>0</v>
      </c>
    </row>
    <row r="47" spans="1:22" ht="12.75" customHeight="1">
      <c r="A47" s="168" t="str">
        <f>'t1'!A47</f>
        <v>CONTRATTISTI (a)</v>
      </c>
      <c r="B47" s="249" t="str">
        <f>'t1'!B47</f>
        <v>000061</v>
      </c>
      <c r="C47" s="279">
        <v>1</v>
      </c>
      <c r="D47" s="280"/>
      <c r="E47" s="279"/>
      <c r="F47" s="280"/>
      <c r="G47" s="279"/>
      <c r="H47" s="280"/>
      <c r="I47" s="279"/>
      <c r="J47" s="280"/>
      <c r="K47" s="279">
        <v>1</v>
      </c>
      <c r="L47" s="280"/>
      <c r="M47" s="281"/>
      <c r="N47" s="282"/>
      <c r="O47" s="279"/>
      <c r="P47" s="280"/>
      <c r="Q47" s="279"/>
      <c r="R47" s="280"/>
      <c r="S47" s="283"/>
      <c r="T47" s="284"/>
      <c r="U47" s="552">
        <f t="shared" si="2"/>
        <v>2</v>
      </c>
      <c r="V47" s="554">
        <f t="shared" si="3"/>
        <v>0</v>
      </c>
    </row>
    <row r="48" spans="1:22" ht="12.75" customHeight="1" thickBot="1">
      <c r="A48" s="168" t="str">
        <f>'t1'!A48</f>
        <v>COLLABORATORE A TEMPO DETERMIN. (b)</v>
      </c>
      <c r="B48" s="249" t="str">
        <f>'t1'!B48</f>
        <v>000096</v>
      </c>
      <c r="C48" s="279"/>
      <c r="D48" s="280"/>
      <c r="E48" s="279"/>
      <c r="F48" s="280"/>
      <c r="G48" s="279"/>
      <c r="H48" s="280"/>
      <c r="I48" s="279"/>
      <c r="J48" s="280"/>
      <c r="K48" s="279"/>
      <c r="L48" s="280"/>
      <c r="M48" s="281"/>
      <c r="N48" s="282"/>
      <c r="O48" s="279"/>
      <c r="P48" s="280"/>
      <c r="Q48" s="279"/>
      <c r="R48" s="280"/>
      <c r="S48" s="283"/>
      <c r="T48" s="284"/>
      <c r="U48" s="552">
        <f t="shared" si="2"/>
        <v>0</v>
      </c>
      <c r="V48" s="554">
        <f t="shared" si="3"/>
        <v>0</v>
      </c>
    </row>
    <row r="49" spans="1:22" ht="17.25" customHeight="1" thickBot="1" thickTop="1">
      <c r="A49" s="78" t="s">
        <v>78</v>
      </c>
      <c r="B49" s="79"/>
      <c r="C49" s="549">
        <f aca="true" t="shared" si="4" ref="C49:V49">SUM(C6:C48)</f>
        <v>7</v>
      </c>
      <c r="D49" s="550">
        <f t="shared" si="4"/>
        <v>1</v>
      </c>
      <c r="E49" s="549">
        <f t="shared" si="4"/>
        <v>16</v>
      </c>
      <c r="F49" s="550">
        <f t="shared" si="4"/>
        <v>14</v>
      </c>
      <c r="G49" s="549">
        <f t="shared" si="4"/>
        <v>29</v>
      </c>
      <c r="H49" s="550">
        <f t="shared" si="4"/>
        <v>17</v>
      </c>
      <c r="I49" s="549">
        <f t="shared" si="4"/>
        <v>68</v>
      </c>
      <c r="J49" s="550">
        <f t="shared" si="4"/>
        <v>24</v>
      </c>
      <c r="K49" s="549">
        <f t="shared" si="4"/>
        <v>57</v>
      </c>
      <c r="L49" s="550">
        <f t="shared" si="4"/>
        <v>6</v>
      </c>
      <c r="M49" s="549">
        <f t="shared" si="4"/>
        <v>14</v>
      </c>
      <c r="N49" s="550">
        <f t="shared" si="4"/>
        <v>5</v>
      </c>
      <c r="O49" s="549">
        <f t="shared" si="4"/>
        <v>7</v>
      </c>
      <c r="P49" s="550">
        <f t="shared" si="4"/>
        <v>1</v>
      </c>
      <c r="Q49" s="549">
        <f t="shared" si="4"/>
        <v>2</v>
      </c>
      <c r="R49" s="550">
        <f t="shared" si="4"/>
        <v>1</v>
      </c>
      <c r="S49" s="549">
        <f t="shared" si="4"/>
        <v>0</v>
      </c>
      <c r="T49" s="550">
        <f t="shared" si="4"/>
        <v>0</v>
      </c>
      <c r="U49" s="549">
        <f t="shared" si="4"/>
        <v>200</v>
      </c>
      <c r="V49" s="551">
        <f t="shared" si="4"/>
        <v>69</v>
      </c>
    </row>
    <row r="50" spans="1:11" s="47" customFormat="1" ht="19.5" customHeight="1">
      <c r="A50" s="26" t="s">
        <v>192</v>
      </c>
      <c r="B50" s="7"/>
      <c r="C50" s="5"/>
      <c r="D50" s="5"/>
      <c r="E50" s="5"/>
      <c r="F50" s="5"/>
      <c r="G50" s="5"/>
      <c r="H50" s="5"/>
      <c r="I50" s="5"/>
      <c r="J50" s="5"/>
      <c r="K50" s="84"/>
    </row>
    <row r="51" spans="1:2" s="5" customFormat="1" ht="11.25">
      <c r="A51" s="26" t="s">
        <v>448</v>
      </c>
      <c r="B51" s="7"/>
    </row>
  </sheetData>
  <sheetProtection password="EA98" sheet="1" objects="1" scenarios="1" formatColumns="0" selectLockedCells="1"/>
  <mergeCells count="11">
    <mergeCell ref="A1:T1"/>
    <mergeCell ref="C4:D4"/>
    <mergeCell ref="E4:F4"/>
    <mergeCell ref="G4:H4"/>
    <mergeCell ref="I4:J4"/>
    <mergeCell ref="P2:V2"/>
    <mergeCell ref="S4:T4"/>
    <mergeCell ref="K4:L4"/>
    <mergeCell ref="M4:N4"/>
    <mergeCell ref="O4:P4"/>
    <mergeCell ref="Q4:R4"/>
  </mergeCells>
  <printOptions horizontalCentered="1" verticalCentered="1"/>
  <pageMargins left="0" right="0" top="0.1968503937007874" bottom="0.17" header="0.18" footer="0.2"/>
  <pageSetup fitToHeight="1" fitToWidth="1" horizontalDpi="600" verticalDpi="600" orientation="landscape" paperSize="9" scale="6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5">
    <pageSetUpPr fitToPage="1"/>
  </sheetPr>
  <dimension ref="A1:Z52"/>
  <sheetViews>
    <sheetView showGridLines="0" zoomScale="85" zoomScaleNormal="85" zoomScalePageLayoutView="0" workbookViewId="0" topLeftCell="A1">
      <pane xSplit="2" ySplit="5" topLeftCell="D15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P34" sqref="P34"/>
    </sheetView>
  </sheetViews>
  <sheetFormatPr defaultColWidth="10.66015625" defaultRowHeight="10.5"/>
  <cols>
    <col min="1" max="1" width="46.83203125" style="47" customWidth="1"/>
    <col min="2" max="2" width="14.16015625" style="49" customWidth="1"/>
    <col min="3" max="24" width="8" style="47" customWidth="1"/>
    <col min="25" max="26" width="8.16015625" style="47" customWidth="1"/>
    <col min="27" max="16384" width="10.66015625" style="47" customWidth="1"/>
  </cols>
  <sheetData>
    <row r="1" spans="1:26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Z1" s="370"/>
    </row>
    <row r="2" spans="1:26" ht="30" customHeight="1" thickBot="1">
      <c r="A2" s="48"/>
      <c r="S2" s="1397"/>
      <c r="T2" s="1397"/>
      <c r="U2" s="1397"/>
      <c r="V2" s="1397"/>
      <c r="W2" s="1397"/>
      <c r="X2" s="1397"/>
      <c r="Y2" s="1397"/>
      <c r="Z2" s="1397"/>
    </row>
    <row r="3" spans="1:26" ht="16.5" customHeight="1" thickBot="1">
      <c r="A3" s="50"/>
      <c r="B3" s="51"/>
      <c r="C3" s="52" t="s">
        <v>272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4"/>
      <c r="Y3" s="53"/>
      <c r="Z3" s="54"/>
    </row>
    <row r="4" spans="1:26" ht="16.5" customHeight="1" thickTop="1">
      <c r="A4" s="329" t="s">
        <v>149</v>
      </c>
      <c r="B4" s="55" t="s">
        <v>74</v>
      </c>
      <c r="C4" s="1441" t="s">
        <v>188</v>
      </c>
      <c r="D4" s="1443"/>
      <c r="E4" s="180" t="s">
        <v>189</v>
      </c>
      <c r="F4" s="179"/>
      <c r="G4" s="1441" t="s">
        <v>85</v>
      </c>
      <c r="H4" s="1443"/>
      <c r="I4" s="1441" t="s">
        <v>86</v>
      </c>
      <c r="J4" s="1443"/>
      <c r="K4" s="1441" t="s">
        <v>87</v>
      </c>
      <c r="L4" s="1443"/>
      <c r="M4" s="1441" t="s">
        <v>88</v>
      </c>
      <c r="N4" s="1443"/>
      <c r="O4" s="1441" t="s">
        <v>89</v>
      </c>
      <c r="P4" s="1443"/>
      <c r="Q4" s="1441" t="s">
        <v>90</v>
      </c>
      <c r="R4" s="1443"/>
      <c r="S4" s="1441" t="s">
        <v>91</v>
      </c>
      <c r="T4" s="1443"/>
      <c r="U4" s="1441" t="s">
        <v>92</v>
      </c>
      <c r="V4" s="1443"/>
      <c r="W4" s="1441" t="s">
        <v>190</v>
      </c>
      <c r="X4" s="1442"/>
      <c r="Y4" s="1441" t="s">
        <v>78</v>
      </c>
      <c r="Z4" s="1442"/>
    </row>
    <row r="5" spans="1:26" ht="12" thickBot="1">
      <c r="A5" s="56"/>
      <c r="B5" s="57"/>
      <c r="C5" s="58" t="s">
        <v>93</v>
      </c>
      <c r="D5" s="59" t="s">
        <v>94</v>
      </c>
      <c r="E5" s="58" t="s">
        <v>93</v>
      </c>
      <c r="F5" s="59" t="s">
        <v>94</v>
      </c>
      <c r="G5" s="58" t="s">
        <v>93</v>
      </c>
      <c r="H5" s="59" t="s">
        <v>94</v>
      </c>
      <c r="I5" s="58" t="s">
        <v>93</v>
      </c>
      <c r="J5" s="59" t="s">
        <v>94</v>
      </c>
      <c r="K5" s="58" t="s">
        <v>93</v>
      </c>
      <c r="L5" s="59" t="s">
        <v>94</v>
      </c>
      <c r="M5" s="58" t="s">
        <v>93</v>
      </c>
      <c r="N5" s="59" t="s">
        <v>94</v>
      </c>
      <c r="O5" s="58" t="s">
        <v>93</v>
      </c>
      <c r="P5" s="59" t="s">
        <v>94</v>
      </c>
      <c r="Q5" s="58" t="s">
        <v>93</v>
      </c>
      <c r="R5" s="59" t="s">
        <v>94</v>
      </c>
      <c r="S5" s="58" t="s">
        <v>93</v>
      </c>
      <c r="T5" s="59" t="s">
        <v>94</v>
      </c>
      <c r="U5" s="58" t="s">
        <v>93</v>
      </c>
      <c r="V5" s="59" t="s">
        <v>94</v>
      </c>
      <c r="W5" s="58" t="s">
        <v>93</v>
      </c>
      <c r="X5" s="60" t="s">
        <v>94</v>
      </c>
      <c r="Y5" s="58" t="s">
        <v>93</v>
      </c>
      <c r="Z5" s="60" t="s">
        <v>94</v>
      </c>
    </row>
    <row r="6" spans="1:26" ht="13.5" customHeight="1" thickTop="1">
      <c r="A6" s="25" t="str">
        <f>'t1'!A6</f>
        <v>SEGRETARIO A</v>
      </c>
      <c r="B6" s="257" t="str">
        <f>'t1'!B6</f>
        <v>0D0102</v>
      </c>
      <c r="C6" s="301"/>
      <c r="D6" s="302"/>
      <c r="E6" s="303"/>
      <c r="F6" s="302"/>
      <c r="G6" s="301"/>
      <c r="H6" s="302"/>
      <c r="I6" s="301"/>
      <c r="J6" s="302"/>
      <c r="K6" s="301"/>
      <c r="L6" s="302"/>
      <c r="M6" s="301"/>
      <c r="N6" s="302"/>
      <c r="O6" s="303">
        <v>1</v>
      </c>
      <c r="P6" s="304"/>
      <c r="Q6" s="301"/>
      <c r="R6" s="302"/>
      <c r="S6" s="301"/>
      <c r="T6" s="302"/>
      <c r="U6" s="301"/>
      <c r="V6" s="302"/>
      <c r="W6" s="305"/>
      <c r="X6" s="306"/>
      <c r="Y6" s="555">
        <f>SUM(C6,E6,G6,I6,K6,M6,O6,Q6,S6,U6,W6)</f>
        <v>1</v>
      </c>
      <c r="Z6" s="556">
        <f>SUM(D6,F6,H6,J6,L6,N6,P6,R6,T6,V6,X6)</f>
        <v>0</v>
      </c>
    </row>
    <row r="7" spans="1:26" ht="13.5" customHeight="1">
      <c r="A7" s="168" t="str">
        <f>'t1'!A7</f>
        <v>SEGRETARIO B</v>
      </c>
      <c r="B7" s="249" t="str">
        <f>'t1'!B7</f>
        <v>0D0103</v>
      </c>
      <c r="C7" s="301"/>
      <c r="D7" s="302"/>
      <c r="E7" s="303"/>
      <c r="F7" s="302"/>
      <c r="G7" s="301"/>
      <c r="H7" s="302"/>
      <c r="I7" s="301"/>
      <c r="J7" s="302"/>
      <c r="K7" s="301"/>
      <c r="L7" s="302"/>
      <c r="M7" s="301"/>
      <c r="N7" s="302"/>
      <c r="O7" s="303"/>
      <c r="P7" s="304"/>
      <c r="Q7" s="301"/>
      <c r="R7" s="302"/>
      <c r="S7" s="301"/>
      <c r="T7" s="302"/>
      <c r="U7" s="301"/>
      <c r="V7" s="302"/>
      <c r="W7" s="305"/>
      <c r="X7" s="302"/>
      <c r="Y7" s="557">
        <f aca="true" t="shared" si="0" ref="Y7:Y40">SUM(C7,E7,G7,I7,K7,M7,O7,Q7,S7,U7,W7)</f>
        <v>0</v>
      </c>
      <c r="Z7" s="558">
        <f aca="true" t="shared" si="1" ref="Z7:Z40">SUM(D7,F7,H7,J7,L7,N7,P7,R7,T7,V7,X7)</f>
        <v>0</v>
      </c>
    </row>
    <row r="8" spans="1:26" ht="13.5" customHeight="1">
      <c r="A8" s="168" t="str">
        <f>'t1'!A8</f>
        <v>SEGRETARIO C</v>
      </c>
      <c r="B8" s="249" t="str">
        <f>'t1'!B8</f>
        <v>0D0485</v>
      </c>
      <c r="C8" s="301"/>
      <c r="D8" s="302"/>
      <c r="E8" s="303"/>
      <c r="F8" s="302"/>
      <c r="G8" s="301"/>
      <c r="H8" s="302"/>
      <c r="I8" s="301"/>
      <c r="J8" s="302"/>
      <c r="K8" s="301"/>
      <c r="L8" s="302"/>
      <c r="M8" s="301"/>
      <c r="N8" s="302"/>
      <c r="O8" s="303"/>
      <c r="P8" s="304"/>
      <c r="Q8" s="301"/>
      <c r="R8" s="302"/>
      <c r="S8" s="301"/>
      <c r="T8" s="302"/>
      <c r="U8" s="301"/>
      <c r="V8" s="302"/>
      <c r="W8" s="305"/>
      <c r="X8" s="302"/>
      <c r="Y8" s="557">
        <f t="shared" si="0"/>
        <v>0</v>
      </c>
      <c r="Z8" s="558">
        <f t="shared" si="1"/>
        <v>0</v>
      </c>
    </row>
    <row r="9" spans="1:26" ht="13.5" customHeight="1">
      <c r="A9" s="168" t="str">
        <f>'t1'!A9</f>
        <v>SEGRETARIO GENERALE CCIAA</v>
      </c>
      <c r="B9" s="249" t="str">
        <f>'t1'!B9</f>
        <v>0D0104</v>
      </c>
      <c r="C9" s="301"/>
      <c r="D9" s="302"/>
      <c r="E9" s="303"/>
      <c r="F9" s="302"/>
      <c r="G9" s="301"/>
      <c r="H9" s="302"/>
      <c r="I9" s="301"/>
      <c r="J9" s="302"/>
      <c r="K9" s="301"/>
      <c r="L9" s="302"/>
      <c r="M9" s="301"/>
      <c r="N9" s="302"/>
      <c r="O9" s="303"/>
      <c r="P9" s="304"/>
      <c r="Q9" s="301"/>
      <c r="R9" s="302"/>
      <c r="S9" s="301"/>
      <c r="T9" s="302"/>
      <c r="U9" s="301"/>
      <c r="V9" s="302"/>
      <c r="W9" s="305"/>
      <c r="X9" s="302"/>
      <c r="Y9" s="557">
        <f t="shared" si="0"/>
        <v>0</v>
      </c>
      <c r="Z9" s="558">
        <f t="shared" si="1"/>
        <v>0</v>
      </c>
    </row>
    <row r="10" spans="1:26" ht="13.5" customHeight="1">
      <c r="A10" s="168" t="str">
        <f>'t1'!A10</f>
        <v>DIRETTORE  GENERALE</v>
      </c>
      <c r="B10" s="249" t="str">
        <f>'t1'!B10</f>
        <v>0D0097</v>
      </c>
      <c r="C10" s="301"/>
      <c r="D10" s="302"/>
      <c r="E10" s="303"/>
      <c r="F10" s="302"/>
      <c r="G10" s="301"/>
      <c r="H10" s="302"/>
      <c r="I10" s="301"/>
      <c r="J10" s="302"/>
      <c r="K10" s="301"/>
      <c r="L10" s="302"/>
      <c r="M10" s="301"/>
      <c r="N10" s="302"/>
      <c r="O10" s="303"/>
      <c r="P10" s="304"/>
      <c r="Q10" s="301"/>
      <c r="R10" s="302"/>
      <c r="S10" s="301"/>
      <c r="T10" s="302"/>
      <c r="U10" s="301"/>
      <c r="V10" s="302"/>
      <c r="W10" s="305"/>
      <c r="X10" s="302"/>
      <c r="Y10" s="557">
        <f t="shared" si="0"/>
        <v>0</v>
      </c>
      <c r="Z10" s="558">
        <f t="shared" si="1"/>
        <v>0</v>
      </c>
    </row>
    <row r="11" spans="1:26" ht="13.5" customHeight="1">
      <c r="A11" s="168" t="str">
        <f>'t1'!A11</f>
        <v>DIRIGENTE FUORI D.O.</v>
      </c>
      <c r="B11" s="249" t="str">
        <f>'t1'!B11</f>
        <v>0D0098</v>
      </c>
      <c r="C11" s="301"/>
      <c r="D11" s="302"/>
      <c r="E11" s="303"/>
      <c r="F11" s="302"/>
      <c r="G11" s="301"/>
      <c r="H11" s="302"/>
      <c r="I11" s="301"/>
      <c r="J11" s="302"/>
      <c r="K11" s="301"/>
      <c r="L11" s="302"/>
      <c r="M11" s="301"/>
      <c r="N11" s="302"/>
      <c r="O11" s="303"/>
      <c r="P11" s="304"/>
      <c r="Q11" s="301"/>
      <c r="R11" s="302"/>
      <c r="S11" s="301"/>
      <c r="T11" s="302"/>
      <c r="U11" s="301"/>
      <c r="V11" s="302"/>
      <c r="W11" s="305"/>
      <c r="X11" s="302"/>
      <c r="Y11" s="557">
        <f t="shared" si="0"/>
        <v>0</v>
      </c>
      <c r="Z11" s="558">
        <f t="shared" si="1"/>
        <v>0</v>
      </c>
    </row>
    <row r="12" spans="1:26" ht="13.5" customHeight="1">
      <c r="A12" s="168" t="str">
        <f>'t1'!A12</f>
        <v>ALTE SPECIALIZZ. FUORI D.O.</v>
      </c>
      <c r="B12" s="249" t="str">
        <f>'t1'!B12</f>
        <v>0D0095</v>
      </c>
      <c r="C12" s="301"/>
      <c r="D12" s="302"/>
      <c r="E12" s="303"/>
      <c r="F12" s="302"/>
      <c r="G12" s="301"/>
      <c r="H12" s="302"/>
      <c r="I12" s="301"/>
      <c r="J12" s="302"/>
      <c r="K12" s="301"/>
      <c r="L12" s="302"/>
      <c r="M12" s="301"/>
      <c r="N12" s="302"/>
      <c r="O12" s="303"/>
      <c r="P12" s="304"/>
      <c r="Q12" s="301"/>
      <c r="R12" s="302"/>
      <c r="S12" s="301"/>
      <c r="T12" s="302"/>
      <c r="U12" s="301"/>
      <c r="V12" s="302"/>
      <c r="W12" s="305"/>
      <c r="X12" s="302"/>
      <c r="Y12" s="557">
        <f t="shared" si="0"/>
        <v>0</v>
      </c>
      <c r="Z12" s="558">
        <f t="shared" si="1"/>
        <v>0</v>
      </c>
    </row>
    <row r="13" spans="1:26" ht="13.5" customHeight="1">
      <c r="A13" s="168" t="str">
        <f>'t1'!A13</f>
        <v>QUALIFICA DIRIGENZIALE TEMPO INDET.</v>
      </c>
      <c r="B13" s="249" t="str">
        <f>'t1'!B13</f>
        <v>0D0100</v>
      </c>
      <c r="C13" s="301"/>
      <c r="D13" s="302"/>
      <c r="E13" s="303"/>
      <c r="F13" s="302"/>
      <c r="G13" s="301"/>
      <c r="H13" s="302"/>
      <c r="I13" s="301"/>
      <c r="J13" s="302"/>
      <c r="K13" s="301"/>
      <c r="L13" s="302"/>
      <c r="M13" s="301"/>
      <c r="N13" s="302"/>
      <c r="O13" s="303"/>
      <c r="P13" s="304"/>
      <c r="Q13" s="301"/>
      <c r="R13" s="302"/>
      <c r="S13" s="301"/>
      <c r="T13" s="302">
        <v>1</v>
      </c>
      <c r="U13" s="301"/>
      <c r="V13" s="302"/>
      <c r="W13" s="305"/>
      <c r="X13" s="302"/>
      <c r="Y13" s="557">
        <f t="shared" si="0"/>
        <v>0</v>
      </c>
      <c r="Z13" s="558">
        <f t="shared" si="1"/>
        <v>1</v>
      </c>
    </row>
    <row r="14" spans="1:26" ht="13.5" customHeight="1">
      <c r="A14" s="168" t="str">
        <f>'t1'!A14</f>
        <v>QUALIFICA DIRIGENZIALE TEMPO DETER.</v>
      </c>
      <c r="B14" s="249" t="str">
        <f>'t1'!B14</f>
        <v>0D0099</v>
      </c>
      <c r="C14" s="301"/>
      <c r="D14" s="302"/>
      <c r="E14" s="303"/>
      <c r="F14" s="302"/>
      <c r="G14" s="301"/>
      <c r="H14" s="302"/>
      <c r="I14" s="301"/>
      <c r="J14" s="302"/>
      <c r="K14" s="301"/>
      <c r="L14" s="302"/>
      <c r="M14" s="301"/>
      <c r="N14" s="302"/>
      <c r="O14" s="303">
        <v>2</v>
      </c>
      <c r="P14" s="304"/>
      <c r="Q14" s="301">
        <v>2</v>
      </c>
      <c r="R14" s="302"/>
      <c r="S14" s="301">
        <v>5</v>
      </c>
      <c r="T14" s="302"/>
      <c r="U14" s="301">
        <v>1</v>
      </c>
      <c r="V14" s="302"/>
      <c r="W14" s="305"/>
      <c r="X14" s="302"/>
      <c r="Y14" s="557">
        <f t="shared" si="0"/>
        <v>10</v>
      </c>
      <c r="Z14" s="558">
        <f t="shared" si="1"/>
        <v>0</v>
      </c>
    </row>
    <row r="15" spans="1:26" ht="13.5" customHeight="1">
      <c r="A15" s="168" t="str">
        <f>'t1'!A15</f>
        <v>POSIZ. ECON. D6 - PROFILI ACCESSO D3</v>
      </c>
      <c r="B15" s="249" t="str">
        <f>'t1'!B15</f>
        <v>0D6A00</v>
      </c>
      <c r="C15" s="301"/>
      <c r="D15" s="302"/>
      <c r="E15" s="303"/>
      <c r="F15" s="302"/>
      <c r="G15" s="301"/>
      <c r="H15" s="302"/>
      <c r="I15" s="301"/>
      <c r="J15" s="302"/>
      <c r="K15" s="301"/>
      <c r="L15" s="302"/>
      <c r="M15" s="301"/>
      <c r="N15" s="302"/>
      <c r="O15" s="303">
        <v>2</v>
      </c>
      <c r="P15" s="304"/>
      <c r="Q15" s="301"/>
      <c r="R15" s="302">
        <v>2</v>
      </c>
      <c r="S15" s="301">
        <v>3</v>
      </c>
      <c r="T15" s="302">
        <v>1</v>
      </c>
      <c r="U15" s="301"/>
      <c r="V15" s="302"/>
      <c r="W15" s="305"/>
      <c r="X15" s="302"/>
      <c r="Y15" s="557">
        <f t="shared" si="0"/>
        <v>5</v>
      </c>
      <c r="Z15" s="558">
        <f t="shared" si="1"/>
        <v>3</v>
      </c>
    </row>
    <row r="16" spans="1:26" ht="13.5" customHeight="1">
      <c r="A16" s="168" t="str">
        <f>'t1'!A16</f>
        <v>POSIZ. ECON. D6 - PROFILO ACCESSO D1</v>
      </c>
      <c r="B16" s="249" t="str">
        <f>'t1'!B16</f>
        <v>0D6000</v>
      </c>
      <c r="C16" s="301"/>
      <c r="D16" s="302"/>
      <c r="E16" s="303"/>
      <c r="F16" s="302"/>
      <c r="G16" s="301"/>
      <c r="H16" s="302"/>
      <c r="I16" s="301"/>
      <c r="J16" s="302"/>
      <c r="K16" s="301"/>
      <c r="L16" s="302"/>
      <c r="M16" s="301"/>
      <c r="N16" s="302"/>
      <c r="O16" s="303"/>
      <c r="P16" s="304"/>
      <c r="Q16" s="301"/>
      <c r="R16" s="302"/>
      <c r="S16" s="301"/>
      <c r="T16" s="302"/>
      <c r="U16" s="301"/>
      <c r="V16" s="302"/>
      <c r="W16" s="305"/>
      <c r="X16" s="302"/>
      <c r="Y16" s="557">
        <f t="shared" si="0"/>
        <v>0</v>
      </c>
      <c r="Z16" s="558">
        <f t="shared" si="1"/>
        <v>0</v>
      </c>
    </row>
    <row r="17" spans="1:26" ht="13.5" customHeight="1">
      <c r="A17" s="168" t="str">
        <f>'t1'!A17</f>
        <v>POSIZ.ECON. D5 PROFILI ACCESSO D3</v>
      </c>
      <c r="B17" s="249" t="str">
        <f>'t1'!B17</f>
        <v>052486</v>
      </c>
      <c r="C17" s="301"/>
      <c r="D17" s="302"/>
      <c r="E17" s="303"/>
      <c r="F17" s="302"/>
      <c r="G17" s="301"/>
      <c r="H17" s="302"/>
      <c r="I17" s="301"/>
      <c r="J17" s="302"/>
      <c r="K17" s="301"/>
      <c r="L17" s="302"/>
      <c r="M17" s="301"/>
      <c r="N17" s="302">
        <v>1</v>
      </c>
      <c r="O17" s="303">
        <v>1</v>
      </c>
      <c r="P17" s="304"/>
      <c r="Q17" s="301"/>
      <c r="R17" s="302">
        <v>1</v>
      </c>
      <c r="S17" s="301">
        <v>3</v>
      </c>
      <c r="T17" s="302"/>
      <c r="U17" s="301">
        <v>1</v>
      </c>
      <c r="V17" s="302"/>
      <c r="W17" s="305">
        <v>1</v>
      </c>
      <c r="X17" s="302"/>
      <c r="Y17" s="557">
        <f t="shared" si="0"/>
        <v>6</v>
      </c>
      <c r="Z17" s="558">
        <f t="shared" si="1"/>
        <v>2</v>
      </c>
    </row>
    <row r="18" spans="1:26" ht="13.5" customHeight="1">
      <c r="A18" s="168" t="str">
        <f>'t1'!A18</f>
        <v>POSIZ.ECON. D5 PROFILI ACCESSO D1</v>
      </c>
      <c r="B18" s="249" t="str">
        <f>'t1'!B18</f>
        <v>052487</v>
      </c>
      <c r="C18" s="301"/>
      <c r="D18" s="302"/>
      <c r="E18" s="303"/>
      <c r="F18" s="302"/>
      <c r="G18" s="301"/>
      <c r="H18" s="302"/>
      <c r="I18" s="301"/>
      <c r="J18" s="302"/>
      <c r="K18" s="301"/>
      <c r="L18" s="302"/>
      <c r="M18" s="301"/>
      <c r="N18" s="302"/>
      <c r="O18" s="303"/>
      <c r="P18" s="304"/>
      <c r="Q18" s="301"/>
      <c r="R18" s="302"/>
      <c r="S18" s="301"/>
      <c r="T18" s="302"/>
      <c r="U18" s="301">
        <v>1</v>
      </c>
      <c r="V18" s="302"/>
      <c r="W18" s="305"/>
      <c r="X18" s="302"/>
      <c r="Y18" s="557">
        <f t="shared" si="0"/>
        <v>1</v>
      </c>
      <c r="Z18" s="558">
        <f t="shared" si="1"/>
        <v>0</v>
      </c>
    </row>
    <row r="19" spans="1:26" ht="13.5" customHeight="1">
      <c r="A19" s="168" t="str">
        <f>'t1'!A19</f>
        <v>POSIZ.ECON. D4 PROFILI ACCESSO D3</v>
      </c>
      <c r="B19" s="249" t="str">
        <f>'t1'!B19</f>
        <v>051488</v>
      </c>
      <c r="C19" s="301"/>
      <c r="D19" s="302"/>
      <c r="E19" s="303"/>
      <c r="F19" s="302"/>
      <c r="G19" s="301"/>
      <c r="H19" s="302"/>
      <c r="I19" s="301"/>
      <c r="J19" s="302"/>
      <c r="K19" s="301"/>
      <c r="L19" s="302"/>
      <c r="M19" s="301">
        <v>2</v>
      </c>
      <c r="N19" s="302">
        <v>3</v>
      </c>
      <c r="O19" s="303">
        <v>1</v>
      </c>
      <c r="P19" s="304">
        <v>2</v>
      </c>
      <c r="Q19" s="301">
        <v>2</v>
      </c>
      <c r="R19" s="302"/>
      <c r="S19" s="301">
        <v>4</v>
      </c>
      <c r="T19" s="302"/>
      <c r="U19" s="301"/>
      <c r="V19" s="302"/>
      <c r="W19" s="305"/>
      <c r="X19" s="302"/>
      <c r="Y19" s="557">
        <f t="shared" si="0"/>
        <v>9</v>
      </c>
      <c r="Z19" s="558">
        <f t="shared" si="1"/>
        <v>5</v>
      </c>
    </row>
    <row r="20" spans="1:26" ht="13.5" customHeight="1">
      <c r="A20" s="168" t="str">
        <f>'t1'!A20</f>
        <v>POSIZ.ECON. D4 PROFILI ACCESSO D1</v>
      </c>
      <c r="B20" s="249" t="str">
        <f>'t1'!B20</f>
        <v>051489</v>
      </c>
      <c r="C20" s="301"/>
      <c r="D20" s="302"/>
      <c r="E20" s="303"/>
      <c r="F20" s="302"/>
      <c r="G20" s="301"/>
      <c r="H20" s="302"/>
      <c r="I20" s="301"/>
      <c r="J20" s="302"/>
      <c r="K20" s="301"/>
      <c r="L20" s="302"/>
      <c r="M20" s="301">
        <v>1</v>
      </c>
      <c r="N20" s="302"/>
      <c r="O20" s="303">
        <v>1</v>
      </c>
      <c r="P20" s="304"/>
      <c r="Q20" s="301"/>
      <c r="R20" s="302"/>
      <c r="S20" s="301">
        <v>1</v>
      </c>
      <c r="T20" s="302"/>
      <c r="U20" s="301"/>
      <c r="V20" s="302"/>
      <c r="W20" s="305"/>
      <c r="X20" s="302"/>
      <c r="Y20" s="557">
        <f t="shared" si="0"/>
        <v>3</v>
      </c>
      <c r="Z20" s="558">
        <f t="shared" si="1"/>
        <v>0</v>
      </c>
    </row>
    <row r="21" spans="1:26" ht="13.5" customHeight="1">
      <c r="A21" s="168" t="str">
        <f>'t1'!A21</f>
        <v>POSIZIONE ECONOMICA DI ACCESSO D3</v>
      </c>
      <c r="B21" s="249" t="str">
        <f>'t1'!B21</f>
        <v>058000</v>
      </c>
      <c r="C21" s="301"/>
      <c r="D21" s="302"/>
      <c r="E21" s="303"/>
      <c r="F21" s="302"/>
      <c r="G21" s="301"/>
      <c r="H21" s="302"/>
      <c r="I21" s="301"/>
      <c r="J21" s="302"/>
      <c r="K21" s="301"/>
      <c r="L21" s="302"/>
      <c r="M21" s="301">
        <v>1</v>
      </c>
      <c r="N21" s="302"/>
      <c r="O21" s="303"/>
      <c r="P21" s="304">
        <v>1</v>
      </c>
      <c r="Q21" s="301"/>
      <c r="R21" s="302"/>
      <c r="S21" s="301"/>
      <c r="T21" s="302"/>
      <c r="U21" s="301"/>
      <c r="V21" s="302"/>
      <c r="W21" s="305"/>
      <c r="X21" s="302"/>
      <c r="Y21" s="557">
        <f t="shared" si="0"/>
        <v>1</v>
      </c>
      <c r="Z21" s="558">
        <f t="shared" si="1"/>
        <v>1</v>
      </c>
    </row>
    <row r="22" spans="1:26" ht="13.5" customHeight="1">
      <c r="A22" s="168" t="str">
        <f>'t1'!A22</f>
        <v>POSIZIONE ECONOMICA D3</v>
      </c>
      <c r="B22" s="249" t="str">
        <f>'t1'!B22</f>
        <v>050000</v>
      </c>
      <c r="C22" s="301"/>
      <c r="D22" s="302"/>
      <c r="E22" s="303"/>
      <c r="F22" s="302"/>
      <c r="G22" s="301"/>
      <c r="H22" s="302"/>
      <c r="I22" s="301"/>
      <c r="J22" s="302"/>
      <c r="K22" s="301"/>
      <c r="L22" s="302"/>
      <c r="M22" s="301"/>
      <c r="N22" s="302"/>
      <c r="O22" s="303">
        <v>1</v>
      </c>
      <c r="P22" s="304">
        <v>1</v>
      </c>
      <c r="Q22" s="301">
        <v>4</v>
      </c>
      <c r="R22" s="302">
        <v>1</v>
      </c>
      <c r="S22" s="301">
        <v>3</v>
      </c>
      <c r="T22" s="302">
        <v>1</v>
      </c>
      <c r="U22" s="301"/>
      <c r="V22" s="302">
        <v>1</v>
      </c>
      <c r="W22" s="305"/>
      <c r="X22" s="302"/>
      <c r="Y22" s="557">
        <f t="shared" si="0"/>
        <v>8</v>
      </c>
      <c r="Z22" s="558">
        <f t="shared" si="1"/>
        <v>4</v>
      </c>
    </row>
    <row r="23" spans="1:26" ht="13.5" customHeight="1">
      <c r="A23" s="168" t="str">
        <f>'t1'!A23</f>
        <v>POSIZIONE ECONOMICA D2</v>
      </c>
      <c r="B23" s="249" t="str">
        <f>'t1'!B23</f>
        <v>049000</v>
      </c>
      <c r="C23" s="301"/>
      <c r="D23" s="302"/>
      <c r="E23" s="303"/>
      <c r="F23" s="302"/>
      <c r="G23" s="301"/>
      <c r="H23" s="302"/>
      <c r="I23" s="301"/>
      <c r="J23" s="302"/>
      <c r="K23" s="301"/>
      <c r="L23" s="302"/>
      <c r="M23" s="301">
        <v>2</v>
      </c>
      <c r="N23" s="302">
        <v>2</v>
      </c>
      <c r="O23" s="303">
        <v>8</v>
      </c>
      <c r="P23" s="304"/>
      <c r="Q23" s="301">
        <v>8</v>
      </c>
      <c r="R23" s="302">
        <v>2</v>
      </c>
      <c r="S23" s="301">
        <v>13</v>
      </c>
      <c r="T23" s="302">
        <v>3</v>
      </c>
      <c r="U23" s="301">
        <v>1</v>
      </c>
      <c r="V23" s="302"/>
      <c r="W23" s="305">
        <v>1</v>
      </c>
      <c r="X23" s="302"/>
      <c r="Y23" s="557">
        <f t="shared" si="0"/>
        <v>33</v>
      </c>
      <c r="Z23" s="558">
        <f t="shared" si="1"/>
        <v>7</v>
      </c>
    </row>
    <row r="24" spans="1:26" ht="13.5" customHeight="1">
      <c r="A24" s="168" t="str">
        <f>'t1'!A24</f>
        <v>POSIZIONE ECONOMICA DI ACCESSO D1</v>
      </c>
      <c r="B24" s="249" t="str">
        <f>'t1'!B24</f>
        <v>057000</v>
      </c>
      <c r="C24" s="301"/>
      <c r="D24" s="302"/>
      <c r="E24" s="303"/>
      <c r="F24" s="302"/>
      <c r="G24" s="301"/>
      <c r="H24" s="302"/>
      <c r="I24" s="301"/>
      <c r="J24" s="302"/>
      <c r="K24" s="301">
        <v>1</v>
      </c>
      <c r="L24" s="302">
        <v>1</v>
      </c>
      <c r="M24" s="301"/>
      <c r="N24" s="302"/>
      <c r="O24" s="303"/>
      <c r="P24" s="304"/>
      <c r="Q24" s="301">
        <v>1</v>
      </c>
      <c r="R24" s="302"/>
      <c r="S24" s="301"/>
      <c r="T24" s="302"/>
      <c r="U24" s="301"/>
      <c r="V24" s="302"/>
      <c r="W24" s="305"/>
      <c r="X24" s="302"/>
      <c r="Y24" s="557">
        <f t="shared" si="0"/>
        <v>2</v>
      </c>
      <c r="Z24" s="558">
        <f t="shared" si="1"/>
        <v>1</v>
      </c>
    </row>
    <row r="25" spans="1:26" ht="13.5" customHeight="1">
      <c r="A25" s="168" t="str">
        <f>'t1'!A25</f>
        <v>POSIZIONE ECONOMICA C5</v>
      </c>
      <c r="B25" s="249" t="str">
        <f>'t1'!B25</f>
        <v>046000</v>
      </c>
      <c r="C25" s="301"/>
      <c r="D25" s="302"/>
      <c r="E25" s="303"/>
      <c r="F25" s="302"/>
      <c r="G25" s="301"/>
      <c r="H25" s="302"/>
      <c r="I25" s="301"/>
      <c r="J25" s="302"/>
      <c r="K25" s="301"/>
      <c r="L25" s="302"/>
      <c r="M25" s="301">
        <v>1</v>
      </c>
      <c r="N25" s="302"/>
      <c r="O25" s="303"/>
      <c r="P25" s="304"/>
      <c r="Q25" s="301">
        <v>2</v>
      </c>
      <c r="R25" s="302"/>
      <c r="S25" s="301">
        <v>1</v>
      </c>
      <c r="T25" s="302"/>
      <c r="U25" s="301"/>
      <c r="V25" s="302"/>
      <c r="W25" s="305"/>
      <c r="X25" s="302"/>
      <c r="Y25" s="557">
        <f t="shared" si="0"/>
        <v>4</v>
      </c>
      <c r="Z25" s="558">
        <f t="shared" si="1"/>
        <v>0</v>
      </c>
    </row>
    <row r="26" spans="1:26" ht="13.5" customHeight="1">
      <c r="A26" s="168" t="str">
        <f>'t1'!A26</f>
        <v>POSIZIONE ECONOMICA C4</v>
      </c>
      <c r="B26" s="249" t="str">
        <f>'t1'!B26</f>
        <v>045000</v>
      </c>
      <c r="C26" s="301"/>
      <c r="D26" s="302"/>
      <c r="E26" s="303"/>
      <c r="F26" s="302"/>
      <c r="G26" s="301"/>
      <c r="H26" s="302"/>
      <c r="I26" s="301"/>
      <c r="J26" s="302"/>
      <c r="K26" s="301">
        <v>1</v>
      </c>
      <c r="L26" s="302"/>
      <c r="M26" s="301">
        <v>1</v>
      </c>
      <c r="N26" s="302"/>
      <c r="O26" s="303">
        <v>3</v>
      </c>
      <c r="P26" s="304">
        <v>3</v>
      </c>
      <c r="Q26" s="301">
        <v>7</v>
      </c>
      <c r="R26" s="302"/>
      <c r="S26" s="301">
        <v>3</v>
      </c>
      <c r="T26" s="302"/>
      <c r="U26" s="301">
        <v>2</v>
      </c>
      <c r="V26" s="302"/>
      <c r="W26" s="305"/>
      <c r="X26" s="302"/>
      <c r="Y26" s="557">
        <f t="shared" si="0"/>
        <v>17</v>
      </c>
      <c r="Z26" s="558">
        <f t="shared" si="1"/>
        <v>3</v>
      </c>
    </row>
    <row r="27" spans="1:26" ht="13.5" customHeight="1">
      <c r="A27" s="168" t="str">
        <f>'t1'!A27</f>
        <v>POSIZIONE ECONOMICA C3</v>
      </c>
      <c r="B27" s="249" t="str">
        <f>'t1'!B27</f>
        <v>043000</v>
      </c>
      <c r="C27" s="301"/>
      <c r="D27" s="302"/>
      <c r="E27" s="303"/>
      <c r="F27" s="302"/>
      <c r="G27" s="301"/>
      <c r="H27" s="302"/>
      <c r="I27" s="301"/>
      <c r="J27" s="302"/>
      <c r="K27" s="301"/>
      <c r="L27" s="302"/>
      <c r="M27" s="301">
        <v>1</v>
      </c>
      <c r="N27" s="302">
        <v>1</v>
      </c>
      <c r="O27" s="303">
        <v>4</v>
      </c>
      <c r="P27" s="304">
        <v>2</v>
      </c>
      <c r="Q27" s="301">
        <v>9</v>
      </c>
      <c r="R27" s="302">
        <v>5</v>
      </c>
      <c r="S27" s="301">
        <v>3</v>
      </c>
      <c r="T27" s="302">
        <v>5</v>
      </c>
      <c r="U27" s="301">
        <v>1</v>
      </c>
      <c r="V27" s="302"/>
      <c r="W27" s="305"/>
      <c r="X27" s="302"/>
      <c r="Y27" s="557">
        <f t="shared" si="0"/>
        <v>18</v>
      </c>
      <c r="Z27" s="558">
        <f t="shared" si="1"/>
        <v>13</v>
      </c>
    </row>
    <row r="28" spans="1:26" ht="13.5" customHeight="1">
      <c r="A28" s="168" t="str">
        <f>'t1'!A28</f>
        <v>POSIZIONE ECONOMICA C2</v>
      </c>
      <c r="B28" s="249" t="str">
        <f>'t1'!B28</f>
        <v>042000</v>
      </c>
      <c r="C28" s="301"/>
      <c r="D28" s="302"/>
      <c r="E28" s="303"/>
      <c r="F28" s="302"/>
      <c r="G28" s="301"/>
      <c r="H28" s="302"/>
      <c r="I28" s="301"/>
      <c r="J28" s="302"/>
      <c r="K28" s="301">
        <v>1</v>
      </c>
      <c r="L28" s="302">
        <v>1</v>
      </c>
      <c r="M28" s="301">
        <v>3</v>
      </c>
      <c r="N28" s="302">
        <v>1</v>
      </c>
      <c r="O28" s="303">
        <v>3</v>
      </c>
      <c r="P28" s="304">
        <v>5</v>
      </c>
      <c r="Q28" s="301">
        <v>5</v>
      </c>
      <c r="R28" s="302">
        <v>3</v>
      </c>
      <c r="S28" s="301">
        <v>7</v>
      </c>
      <c r="T28" s="302">
        <v>4</v>
      </c>
      <c r="U28" s="301">
        <v>2</v>
      </c>
      <c r="V28" s="302">
        <v>2</v>
      </c>
      <c r="W28" s="305">
        <v>2</v>
      </c>
      <c r="X28" s="302"/>
      <c r="Y28" s="557">
        <f t="shared" si="0"/>
        <v>23</v>
      </c>
      <c r="Z28" s="558">
        <f t="shared" si="1"/>
        <v>16</v>
      </c>
    </row>
    <row r="29" spans="1:26" ht="13.5" customHeight="1">
      <c r="A29" s="168" t="str">
        <f>'t1'!A29</f>
        <v>POSIZIONE ECONOMICA DI ACCESSO C1</v>
      </c>
      <c r="B29" s="249" t="str">
        <f>'t1'!B29</f>
        <v>056000</v>
      </c>
      <c r="C29" s="301"/>
      <c r="D29" s="302"/>
      <c r="E29" s="303"/>
      <c r="F29" s="302"/>
      <c r="G29" s="301"/>
      <c r="H29" s="302"/>
      <c r="I29" s="301"/>
      <c r="J29" s="302"/>
      <c r="K29" s="301"/>
      <c r="L29" s="302"/>
      <c r="M29" s="301"/>
      <c r="N29" s="302"/>
      <c r="O29" s="303"/>
      <c r="P29" s="304"/>
      <c r="Q29" s="301"/>
      <c r="R29" s="302"/>
      <c r="S29" s="301"/>
      <c r="T29" s="302"/>
      <c r="U29" s="301"/>
      <c r="V29" s="302"/>
      <c r="W29" s="305"/>
      <c r="X29" s="302"/>
      <c r="Y29" s="557">
        <f t="shared" si="0"/>
        <v>0</v>
      </c>
      <c r="Z29" s="558">
        <f t="shared" si="1"/>
        <v>0</v>
      </c>
    </row>
    <row r="30" spans="1:26" ht="13.5" customHeight="1">
      <c r="A30" s="168" t="str">
        <f>'t1'!A30</f>
        <v>POSIZ. ECON. B7 - PROFILO ACCESSO B3</v>
      </c>
      <c r="B30" s="249" t="str">
        <f>'t1'!B30</f>
        <v>0B7A00</v>
      </c>
      <c r="C30" s="301"/>
      <c r="D30" s="302"/>
      <c r="E30" s="303"/>
      <c r="F30" s="302"/>
      <c r="G30" s="301"/>
      <c r="H30" s="302"/>
      <c r="I30" s="301"/>
      <c r="J30" s="302"/>
      <c r="K30" s="301"/>
      <c r="L30" s="302"/>
      <c r="M30" s="301"/>
      <c r="N30" s="302"/>
      <c r="O30" s="303"/>
      <c r="P30" s="304"/>
      <c r="Q30" s="301"/>
      <c r="R30" s="302"/>
      <c r="S30" s="301"/>
      <c r="T30" s="302"/>
      <c r="U30" s="301"/>
      <c r="V30" s="302"/>
      <c r="W30" s="305"/>
      <c r="X30" s="302"/>
      <c r="Y30" s="557">
        <f t="shared" si="0"/>
        <v>0</v>
      </c>
      <c r="Z30" s="558">
        <f t="shared" si="1"/>
        <v>0</v>
      </c>
    </row>
    <row r="31" spans="1:26" ht="13.5" customHeight="1">
      <c r="A31" s="168" t="str">
        <f>'t1'!A31</f>
        <v>POSIZ. ECON. B7 - PROFILO  ACCESSO B1</v>
      </c>
      <c r="B31" s="249" t="str">
        <f>'t1'!B31</f>
        <v>0B7000</v>
      </c>
      <c r="C31" s="301"/>
      <c r="D31" s="302"/>
      <c r="E31" s="303"/>
      <c r="F31" s="302"/>
      <c r="G31" s="301"/>
      <c r="H31" s="302"/>
      <c r="I31" s="301"/>
      <c r="J31" s="302"/>
      <c r="K31" s="301"/>
      <c r="L31" s="302"/>
      <c r="M31" s="301"/>
      <c r="N31" s="302"/>
      <c r="O31" s="303"/>
      <c r="P31" s="304"/>
      <c r="Q31" s="301"/>
      <c r="R31" s="302"/>
      <c r="S31" s="301"/>
      <c r="T31" s="302"/>
      <c r="U31" s="301"/>
      <c r="V31" s="302"/>
      <c r="W31" s="305"/>
      <c r="X31" s="302"/>
      <c r="Y31" s="557">
        <f t="shared" si="0"/>
        <v>0</v>
      </c>
      <c r="Z31" s="558">
        <f t="shared" si="1"/>
        <v>0</v>
      </c>
    </row>
    <row r="32" spans="1:26" ht="13.5" customHeight="1">
      <c r="A32" s="168" t="str">
        <f>'t1'!A32</f>
        <v>POSIZ.ECON. B6 PROFILI ACCESSO B3</v>
      </c>
      <c r="B32" s="249" t="str">
        <f>'t1'!B32</f>
        <v>038490</v>
      </c>
      <c r="C32" s="301"/>
      <c r="D32" s="302"/>
      <c r="E32" s="303"/>
      <c r="F32" s="302"/>
      <c r="G32" s="301"/>
      <c r="H32" s="302"/>
      <c r="I32" s="301"/>
      <c r="J32" s="302"/>
      <c r="K32" s="301"/>
      <c r="L32" s="302"/>
      <c r="M32" s="301"/>
      <c r="N32" s="302"/>
      <c r="O32" s="303"/>
      <c r="P32" s="304"/>
      <c r="Q32" s="301"/>
      <c r="R32" s="302"/>
      <c r="S32" s="301"/>
      <c r="T32" s="302"/>
      <c r="U32" s="301"/>
      <c r="V32" s="302"/>
      <c r="W32" s="305"/>
      <c r="X32" s="302"/>
      <c r="Y32" s="557">
        <f t="shared" si="0"/>
        <v>0</v>
      </c>
      <c r="Z32" s="558">
        <f t="shared" si="1"/>
        <v>0</v>
      </c>
    </row>
    <row r="33" spans="1:26" ht="13.5" customHeight="1">
      <c r="A33" s="168" t="str">
        <f>'t1'!A33</f>
        <v>POSIZ.ECON. B6 PROFILI ACCESSO B1</v>
      </c>
      <c r="B33" s="249" t="str">
        <f>'t1'!B33</f>
        <v>038491</v>
      </c>
      <c r="C33" s="301"/>
      <c r="D33" s="302"/>
      <c r="E33" s="303"/>
      <c r="F33" s="302"/>
      <c r="G33" s="301"/>
      <c r="H33" s="302"/>
      <c r="I33" s="301"/>
      <c r="J33" s="302"/>
      <c r="K33" s="301"/>
      <c r="L33" s="302"/>
      <c r="M33" s="301"/>
      <c r="N33" s="302"/>
      <c r="O33" s="303"/>
      <c r="P33" s="304"/>
      <c r="Q33" s="301"/>
      <c r="R33" s="302"/>
      <c r="S33" s="301"/>
      <c r="T33" s="302"/>
      <c r="U33" s="301"/>
      <c r="V33" s="302"/>
      <c r="W33" s="305"/>
      <c r="X33" s="302"/>
      <c r="Y33" s="557">
        <f t="shared" si="0"/>
        <v>0</v>
      </c>
      <c r="Z33" s="558">
        <f t="shared" si="1"/>
        <v>0</v>
      </c>
    </row>
    <row r="34" spans="1:26" ht="13.5" customHeight="1">
      <c r="A34" s="168" t="str">
        <f>'t1'!A34</f>
        <v>POSIZ.ECON. B5 PROFILI ACCESSO B3</v>
      </c>
      <c r="B34" s="249" t="str">
        <f>'t1'!B34</f>
        <v>037492</v>
      </c>
      <c r="C34" s="301"/>
      <c r="D34" s="302"/>
      <c r="E34" s="303"/>
      <c r="F34" s="302"/>
      <c r="G34" s="301"/>
      <c r="H34" s="302"/>
      <c r="I34" s="301"/>
      <c r="J34" s="302"/>
      <c r="K34" s="301"/>
      <c r="L34" s="302"/>
      <c r="M34" s="301"/>
      <c r="N34" s="302"/>
      <c r="O34" s="303">
        <v>1</v>
      </c>
      <c r="P34" s="304"/>
      <c r="Q34" s="301"/>
      <c r="R34" s="302"/>
      <c r="S34" s="301"/>
      <c r="T34" s="302"/>
      <c r="U34" s="301"/>
      <c r="V34" s="302"/>
      <c r="W34" s="305"/>
      <c r="X34" s="302"/>
      <c r="Y34" s="557">
        <f t="shared" si="0"/>
        <v>1</v>
      </c>
      <c r="Z34" s="558">
        <f t="shared" si="1"/>
        <v>0</v>
      </c>
    </row>
    <row r="35" spans="1:26" ht="13.5" customHeight="1">
      <c r="A35" s="168" t="str">
        <f>'t1'!A35</f>
        <v>POSIZ.ECON. B5 PROFILI ACCESSO B1</v>
      </c>
      <c r="B35" s="249" t="str">
        <f>'t1'!B35</f>
        <v>037493</v>
      </c>
      <c r="C35" s="301"/>
      <c r="D35" s="302"/>
      <c r="E35" s="303"/>
      <c r="F35" s="302"/>
      <c r="G35" s="301"/>
      <c r="H35" s="302"/>
      <c r="I35" s="301"/>
      <c r="J35" s="302"/>
      <c r="K35" s="301"/>
      <c r="L35" s="302"/>
      <c r="M35" s="301"/>
      <c r="N35" s="302"/>
      <c r="O35" s="303"/>
      <c r="P35" s="304"/>
      <c r="Q35" s="301"/>
      <c r="R35" s="302"/>
      <c r="S35" s="301"/>
      <c r="T35" s="302"/>
      <c r="U35" s="301"/>
      <c r="V35" s="302"/>
      <c r="W35" s="305"/>
      <c r="X35" s="302"/>
      <c r="Y35" s="557">
        <f t="shared" si="0"/>
        <v>0</v>
      </c>
      <c r="Z35" s="558">
        <f t="shared" si="1"/>
        <v>0</v>
      </c>
    </row>
    <row r="36" spans="1:26" ht="13.5" customHeight="1">
      <c r="A36" s="168" t="str">
        <f>'t1'!A36</f>
        <v>POSIZ.ECON. B4 PROFILI ACCESSO B3</v>
      </c>
      <c r="B36" s="249" t="str">
        <f>'t1'!B36</f>
        <v>036494</v>
      </c>
      <c r="C36" s="301"/>
      <c r="D36" s="302"/>
      <c r="E36" s="303"/>
      <c r="F36" s="302"/>
      <c r="G36" s="301"/>
      <c r="H36" s="302"/>
      <c r="I36" s="301"/>
      <c r="J36" s="302"/>
      <c r="K36" s="301"/>
      <c r="L36" s="302"/>
      <c r="M36" s="301">
        <v>3</v>
      </c>
      <c r="N36" s="302"/>
      <c r="O36" s="303">
        <v>2</v>
      </c>
      <c r="P36" s="304"/>
      <c r="Q36" s="301">
        <v>8</v>
      </c>
      <c r="R36" s="302"/>
      <c r="S36" s="301">
        <v>14</v>
      </c>
      <c r="T36" s="302"/>
      <c r="U36" s="301">
        <v>3</v>
      </c>
      <c r="V36" s="302"/>
      <c r="W36" s="305"/>
      <c r="X36" s="302"/>
      <c r="Y36" s="557">
        <f t="shared" si="0"/>
        <v>30</v>
      </c>
      <c r="Z36" s="558">
        <f t="shared" si="1"/>
        <v>0</v>
      </c>
    </row>
    <row r="37" spans="1:26" ht="13.5" customHeight="1">
      <c r="A37" s="168" t="str">
        <f>'t1'!A37</f>
        <v>POSIZ.ECON. B4 PROFILI ACCESSO B1</v>
      </c>
      <c r="B37" s="249" t="str">
        <f>'t1'!B37</f>
        <v>036495</v>
      </c>
      <c r="C37" s="301"/>
      <c r="D37" s="302"/>
      <c r="E37" s="303"/>
      <c r="F37" s="302"/>
      <c r="G37" s="301"/>
      <c r="H37" s="302"/>
      <c r="I37" s="301">
        <v>1</v>
      </c>
      <c r="J37" s="302"/>
      <c r="K37" s="301"/>
      <c r="L37" s="302"/>
      <c r="M37" s="301"/>
      <c r="N37" s="302"/>
      <c r="O37" s="303"/>
      <c r="P37" s="304"/>
      <c r="Q37" s="301"/>
      <c r="R37" s="302">
        <v>1</v>
      </c>
      <c r="S37" s="301"/>
      <c r="T37" s="302"/>
      <c r="U37" s="301"/>
      <c r="V37" s="302"/>
      <c r="W37" s="305"/>
      <c r="X37" s="302"/>
      <c r="Y37" s="557">
        <f t="shared" si="0"/>
        <v>1</v>
      </c>
      <c r="Z37" s="558">
        <f t="shared" si="1"/>
        <v>1</v>
      </c>
    </row>
    <row r="38" spans="1:26" ht="13.5" customHeight="1">
      <c r="A38" s="168" t="str">
        <f>'t1'!A38</f>
        <v>POSIZIONE ECONOMICA DI ACCESSO B3</v>
      </c>
      <c r="B38" s="249" t="str">
        <f>'t1'!B38</f>
        <v>055000</v>
      </c>
      <c r="C38" s="301"/>
      <c r="D38" s="302"/>
      <c r="E38" s="303"/>
      <c r="F38" s="302"/>
      <c r="G38" s="301"/>
      <c r="H38" s="302"/>
      <c r="I38" s="301"/>
      <c r="J38" s="302"/>
      <c r="K38" s="301"/>
      <c r="L38" s="302"/>
      <c r="M38" s="301"/>
      <c r="N38" s="302"/>
      <c r="O38" s="303">
        <v>1</v>
      </c>
      <c r="P38" s="304"/>
      <c r="Q38" s="301">
        <v>2</v>
      </c>
      <c r="R38" s="302"/>
      <c r="S38" s="301">
        <v>7</v>
      </c>
      <c r="T38" s="302"/>
      <c r="U38" s="301">
        <v>2</v>
      </c>
      <c r="V38" s="302"/>
      <c r="W38" s="305"/>
      <c r="X38" s="302"/>
      <c r="Y38" s="557">
        <f t="shared" si="0"/>
        <v>12</v>
      </c>
      <c r="Z38" s="558">
        <f t="shared" si="1"/>
        <v>0</v>
      </c>
    </row>
    <row r="39" spans="1:26" ht="13.5" customHeight="1">
      <c r="A39" s="168" t="str">
        <f>'t1'!A39</f>
        <v>POSIZIONE ECONOMICA B3</v>
      </c>
      <c r="B39" s="249" t="str">
        <f>'t1'!B39</f>
        <v>034000</v>
      </c>
      <c r="C39" s="301"/>
      <c r="D39" s="302"/>
      <c r="E39" s="303"/>
      <c r="F39" s="302"/>
      <c r="G39" s="301"/>
      <c r="H39" s="302"/>
      <c r="I39" s="301"/>
      <c r="J39" s="302"/>
      <c r="K39" s="301"/>
      <c r="L39" s="302"/>
      <c r="M39" s="301"/>
      <c r="N39" s="302">
        <v>1</v>
      </c>
      <c r="O39" s="303">
        <v>1</v>
      </c>
      <c r="P39" s="304">
        <v>2</v>
      </c>
      <c r="Q39" s="301">
        <v>3</v>
      </c>
      <c r="R39" s="302"/>
      <c r="S39" s="301">
        <v>4</v>
      </c>
      <c r="T39" s="302">
        <v>1</v>
      </c>
      <c r="U39" s="301"/>
      <c r="V39" s="302">
        <v>1</v>
      </c>
      <c r="W39" s="305"/>
      <c r="X39" s="302"/>
      <c r="Y39" s="557">
        <f t="shared" si="0"/>
        <v>8</v>
      </c>
      <c r="Z39" s="558">
        <f t="shared" si="1"/>
        <v>5</v>
      </c>
    </row>
    <row r="40" spans="1:26" ht="13.5" customHeight="1">
      <c r="A40" s="168" t="str">
        <f>'t1'!A40</f>
        <v>POSIZIONE ECONOMICA B2</v>
      </c>
      <c r="B40" s="249" t="str">
        <f>'t1'!B40</f>
        <v>032000</v>
      </c>
      <c r="C40" s="301"/>
      <c r="D40" s="302"/>
      <c r="E40" s="303"/>
      <c r="F40" s="302"/>
      <c r="G40" s="301"/>
      <c r="H40" s="302"/>
      <c r="I40" s="301"/>
      <c r="J40" s="302"/>
      <c r="K40" s="301"/>
      <c r="L40" s="302"/>
      <c r="M40" s="301">
        <v>1</v>
      </c>
      <c r="N40" s="302">
        <v>2</v>
      </c>
      <c r="O40" s="303"/>
      <c r="P40" s="304">
        <v>1</v>
      </c>
      <c r="Q40" s="301">
        <v>1</v>
      </c>
      <c r="R40" s="302">
        <v>2</v>
      </c>
      <c r="S40" s="301">
        <v>1</v>
      </c>
      <c r="T40" s="302">
        <v>1</v>
      </c>
      <c r="U40" s="301">
        <v>1</v>
      </c>
      <c r="V40" s="302"/>
      <c r="W40" s="305"/>
      <c r="X40" s="302"/>
      <c r="Y40" s="557">
        <f t="shared" si="0"/>
        <v>4</v>
      </c>
      <c r="Z40" s="558">
        <f t="shared" si="1"/>
        <v>6</v>
      </c>
    </row>
    <row r="41" spans="1:26" ht="13.5" customHeight="1">
      <c r="A41" s="168" t="str">
        <f>'t1'!A41</f>
        <v>POSIZIONE ECONOMICA DI ACCESSO B1</v>
      </c>
      <c r="B41" s="249" t="str">
        <f>'t1'!B41</f>
        <v>054000</v>
      </c>
      <c r="C41" s="301"/>
      <c r="D41" s="302"/>
      <c r="E41" s="303"/>
      <c r="F41" s="302"/>
      <c r="G41" s="301"/>
      <c r="H41" s="302"/>
      <c r="I41" s="301"/>
      <c r="J41" s="302"/>
      <c r="K41" s="301"/>
      <c r="L41" s="302">
        <v>1</v>
      </c>
      <c r="M41" s="301"/>
      <c r="N41" s="302"/>
      <c r="O41" s="303"/>
      <c r="P41" s="304"/>
      <c r="Q41" s="301"/>
      <c r="R41" s="302"/>
      <c r="S41" s="301"/>
      <c r="T41" s="302"/>
      <c r="U41" s="301"/>
      <c r="V41" s="302"/>
      <c r="W41" s="305"/>
      <c r="X41" s="302"/>
      <c r="Y41" s="557">
        <f aca="true" t="shared" si="2" ref="Y41:Y48">SUM(C41,E41,G41,I41,K41,M41,O41,Q41,S41,U41,W41)</f>
        <v>0</v>
      </c>
      <c r="Z41" s="558">
        <f aca="true" t="shared" si="3" ref="Z41:Z48">SUM(D41,F41,H41,J41,L41,N41,P41,R41,T41,V41,X41)</f>
        <v>1</v>
      </c>
    </row>
    <row r="42" spans="1:26" ht="13.5" customHeight="1">
      <c r="A42" s="168" t="str">
        <f>'t1'!A42</f>
        <v>POSIZIONE ECONOMICA A5</v>
      </c>
      <c r="B42" s="249" t="str">
        <f>'t1'!B42</f>
        <v>0A5000</v>
      </c>
      <c r="C42" s="301"/>
      <c r="D42" s="302"/>
      <c r="E42" s="303"/>
      <c r="F42" s="302"/>
      <c r="G42" s="301"/>
      <c r="H42" s="302"/>
      <c r="I42" s="301"/>
      <c r="J42" s="302"/>
      <c r="K42" s="301"/>
      <c r="L42" s="302"/>
      <c r="M42" s="301"/>
      <c r="N42" s="302"/>
      <c r="O42" s="303"/>
      <c r="P42" s="304"/>
      <c r="Q42" s="301"/>
      <c r="R42" s="302"/>
      <c r="S42" s="301"/>
      <c r="T42" s="302"/>
      <c r="U42" s="301"/>
      <c r="V42" s="302"/>
      <c r="W42" s="305"/>
      <c r="X42" s="302"/>
      <c r="Y42" s="557">
        <f t="shared" si="2"/>
        <v>0</v>
      </c>
      <c r="Z42" s="558">
        <f t="shared" si="3"/>
        <v>0</v>
      </c>
    </row>
    <row r="43" spans="1:26" ht="13.5" customHeight="1">
      <c r="A43" s="168" t="str">
        <f>'t1'!A43</f>
        <v>POSIZIONE ECONOMICA A4</v>
      </c>
      <c r="B43" s="249" t="str">
        <f>'t1'!B43</f>
        <v>028000</v>
      </c>
      <c r="C43" s="301"/>
      <c r="D43" s="302"/>
      <c r="E43" s="303"/>
      <c r="F43" s="302"/>
      <c r="G43" s="301"/>
      <c r="H43" s="302"/>
      <c r="I43" s="301"/>
      <c r="J43" s="302"/>
      <c r="K43" s="301"/>
      <c r="L43" s="302"/>
      <c r="M43" s="301"/>
      <c r="N43" s="302"/>
      <c r="O43" s="303"/>
      <c r="P43" s="304"/>
      <c r="Q43" s="301"/>
      <c r="R43" s="302"/>
      <c r="S43" s="301"/>
      <c r="T43" s="302"/>
      <c r="U43" s="301"/>
      <c r="V43" s="302"/>
      <c r="W43" s="305"/>
      <c r="X43" s="302"/>
      <c r="Y43" s="557">
        <f t="shared" si="2"/>
        <v>0</v>
      </c>
      <c r="Z43" s="558">
        <f t="shared" si="3"/>
        <v>0</v>
      </c>
    </row>
    <row r="44" spans="1:26" ht="13.5" customHeight="1">
      <c r="A44" s="168" t="str">
        <f>'t1'!A44</f>
        <v>POSIZIONE ECONOMICA A3</v>
      </c>
      <c r="B44" s="249" t="str">
        <f>'t1'!B44</f>
        <v>027000</v>
      </c>
      <c r="C44" s="301"/>
      <c r="D44" s="302"/>
      <c r="E44" s="303"/>
      <c r="F44" s="302"/>
      <c r="G44" s="301"/>
      <c r="H44" s="302"/>
      <c r="I44" s="301"/>
      <c r="J44" s="302"/>
      <c r="K44" s="301"/>
      <c r="L44" s="302"/>
      <c r="M44" s="301"/>
      <c r="N44" s="302"/>
      <c r="O44" s="303"/>
      <c r="P44" s="304"/>
      <c r="Q44" s="301"/>
      <c r="R44" s="302"/>
      <c r="S44" s="301"/>
      <c r="T44" s="302"/>
      <c r="U44" s="301"/>
      <c r="V44" s="302"/>
      <c r="W44" s="305"/>
      <c r="X44" s="302"/>
      <c r="Y44" s="557">
        <f t="shared" si="2"/>
        <v>0</v>
      </c>
      <c r="Z44" s="558">
        <f t="shared" si="3"/>
        <v>0</v>
      </c>
    </row>
    <row r="45" spans="1:26" ht="13.5" customHeight="1">
      <c r="A45" s="168" t="str">
        <f>'t1'!A45</f>
        <v>POSIZIONE ECONOMICA A2</v>
      </c>
      <c r="B45" s="249" t="str">
        <f>'t1'!B45</f>
        <v>025000</v>
      </c>
      <c r="C45" s="301"/>
      <c r="D45" s="302"/>
      <c r="E45" s="303"/>
      <c r="F45" s="302"/>
      <c r="G45" s="301"/>
      <c r="H45" s="302"/>
      <c r="I45" s="301"/>
      <c r="J45" s="302"/>
      <c r="K45" s="301"/>
      <c r="L45" s="302"/>
      <c r="M45" s="301"/>
      <c r="N45" s="302"/>
      <c r="O45" s="303"/>
      <c r="P45" s="304"/>
      <c r="Q45" s="301"/>
      <c r="R45" s="302"/>
      <c r="S45" s="301"/>
      <c r="T45" s="302"/>
      <c r="U45" s="301"/>
      <c r="V45" s="302"/>
      <c r="W45" s="305"/>
      <c r="X45" s="302"/>
      <c r="Y45" s="557">
        <f t="shared" si="2"/>
        <v>0</v>
      </c>
      <c r="Z45" s="558">
        <f t="shared" si="3"/>
        <v>0</v>
      </c>
    </row>
    <row r="46" spans="1:26" ht="13.5" customHeight="1">
      <c r="A46" s="168" t="str">
        <f>'t1'!A46</f>
        <v>POSIZIONE ECONOMICA DI ACCESSO A1</v>
      </c>
      <c r="B46" s="249" t="str">
        <f>'t1'!B46</f>
        <v>053000</v>
      </c>
      <c r="C46" s="301"/>
      <c r="D46" s="302"/>
      <c r="E46" s="303"/>
      <c r="F46" s="302"/>
      <c r="G46" s="301"/>
      <c r="H46" s="302"/>
      <c r="I46" s="301"/>
      <c r="J46" s="302"/>
      <c r="K46" s="301">
        <v>1</v>
      </c>
      <c r="L46" s="302"/>
      <c r="M46" s="301"/>
      <c r="N46" s="302"/>
      <c r="O46" s="303"/>
      <c r="P46" s="304"/>
      <c r="Q46" s="301"/>
      <c r="R46" s="302"/>
      <c r="S46" s="301"/>
      <c r="T46" s="302"/>
      <c r="U46" s="301"/>
      <c r="V46" s="302"/>
      <c r="W46" s="305"/>
      <c r="X46" s="302"/>
      <c r="Y46" s="557">
        <f t="shared" si="2"/>
        <v>1</v>
      </c>
      <c r="Z46" s="558">
        <f t="shared" si="3"/>
        <v>0</v>
      </c>
    </row>
    <row r="47" spans="1:26" ht="13.5" customHeight="1">
      <c r="A47" s="168" t="str">
        <f>'t1'!A47</f>
        <v>CONTRATTISTI (a)</v>
      </c>
      <c r="B47" s="249" t="str">
        <f>'t1'!B47</f>
        <v>000061</v>
      </c>
      <c r="C47" s="301"/>
      <c r="D47" s="302"/>
      <c r="E47" s="303"/>
      <c r="F47" s="302"/>
      <c r="G47" s="301"/>
      <c r="H47" s="302"/>
      <c r="I47" s="301"/>
      <c r="J47" s="302"/>
      <c r="K47" s="301"/>
      <c r="L47" s="302"/>
      <c r="M47" s="301"/>
      <c r="N47" s="302"/>
      <c r="O47" s="303"/>
      <c r="P47" s="304"/>
      <c r="Q47" s="301"/>
      <c r="R47" s="302"/>
      <c r="S47" s="301">
        <v>2</v>
      </c>
      <c r="T47" s="302"/>
      <c r="U47" s="301"/>
      <c r="V47" s="302"/>
      <c r="W47" s="305"/>
      <c r="X47" s="302"/>
      <c r="Y47" s="557">
        <f t="shared" si="2"/>
        <v>2</v>
      </c>
      <c r="Z47" s="558">
        <f t="shared" si="3"/>
        <v>0</v>
      </c>
    </row>
    <row r="48" spans="1:26" ht="13.5" customHeight="1" thickBot="1">
      <c r="A48" s="168" t="str">
        <f>'t1'!A48</f>
        <v>COLLABORATORE A TEMPO DETERMIN. (b)</v>
      </c>
      <c r="B48" s="249" t="str">
        <f>'t1'!B48</f>
        <v>000096</v>
      </c>
      <c r="C48" s="301"/>
      <c r="D48" s="302"/>
      <c r="E48" s="303"/>
      <c r="F48" s="302"/>
      <c r="G48" s="301"/>
      <c r="H48" s="302"/>
      <c r="I48" s="301"/>
      <c r="J48" s="302"/>
      <c r="K48" s="301"/>
      <c r="L48" s="302"/>
      <c r="M48" s="301"/>
      <c r="N48" s="302"/>
      <c r="O48" s="303"/>
      <c r="P48" s="304"/>
      <c r="Q48" s="301"/>
      <c r="R48" s="302"/>
      <c r="S48" s="301"/>
      <c r="T48" s="302"/>
      <c r="U48" s="301"/>
      <c r="V48" s="302"/>
      <c r="W48" s="305"/>
      <c r="X48" s="302"/>
      <c r="Y48" s="557">
        <f t="shared" si="2"/>
        <v>0</v>
      </c>
      <c r="Z48" s="558">
        <f t="shared" si="3"/>
        <v>0</v>
      </c>
    </row>
    <row r="49" spans="1:26" ht="16.5" customHeight="1" thickBot="1" thickTop="1">
      <c r="A49" s="61" t="s">
        <v>78</v>
      </c>
      <c r="B49" s="62"/>
      <c r="C49" s="559">
        <f aca="true" t="shared" si="4" ref="C49:Z49">SUM(C6:C48)</f>
        <v>0</v>
      </c>
      <c r="D49" s="561">
        <f t="shared" si="4"/>
        <v>0</v>
      </c>
      <c r="E49" s="559">
        <f t="shared" si="4"/>
        <v>0</v>
      </c>
      <c r="F49" s="561">
        <f t="shared" si="4"/>
        <v>0</v>
      </c>
      <c r="G49" s="559">
        <f t="shared" si="4"/>
        <v>0</v>
      </c>
      <c r="H49" s="561">
        <f t="shared" si="4"/>
        <v>0</v>
      </c>
      <c r="I49" s="559">
        <f t="shared" si="4"/>
        <v>1</v>
      </c>
      <c r="J49" s="561">
        <f t="shared" si="4"/>
        <v>0</v>
      </c>
      <c r="K49" s="559">
        <f t="shared" si="4"/>
        <v>4</v>
      </c>
      <c r="L49" s="561">
        <f t="shared" si="4"/>
        <v>3</v>
      </c>
      <c r="M49" s="559">
        <f t="shared" si="4"/>
        <v>16</v>
      </c>
      <c r="N49" s="561">
        <f t="shared" si="4"/>
        <v>11</v>
      </c>
      <c r="O49" s="559">
        <f t="shared" si="4"/>
        <v>32</v>
      </c>
      <c r="P49" s="561">
        <f t="shared" si="4"/>
        <v>17</v>
      </c>
      <c r="Q49" s="559">
        <f t="shared" si="4"/>
        <v>54</v>
      </c>
      <c r="R49" s="561">
        <f t="shared" si="4"/>
        <v>17</v>
      </c>
      <c r="S49" s="559">
        <f t="shared" si="4"/>
        <v>74</v>
      </c>
      <c r="T49" s="561">
        <f t="shared" si="4"/>
        <v>17</v>
      </c>
      <c r="U49" s="559">
        <f t="shared" si="4"/>
        <v>15</v>
      </c>
      <c r="V49" s="561">
        <f t="shared" si="4"/>
        <v>4</v>
      </c>
      <c r="W49" s="559">
        <f t="shared" si="4"/>
        <v>4</v>
      </c>
      <c r="X49" s="561">
        <f t="shared" si="4"/>
        <v>0</v>
      </c>
      <c r="Y49" s="559">
        <f t="shared" si="4"/>
        <v>200</v>
      </c>
      <c r="Z49" s="560">
        <f t="shared" si="4"/>
        <v>69</v>
      </c>
    </row>
    <row r="50" spans="1:26" ht="8.25" customHeight="1">
      <c r="A50" s="171"/>
      <c r="B50" s="172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</row>
    <row r="51" spans="1:13" ht="11.25">
      <c r="A51" s="26" t="s">
        <v>192</v>
      </c>
      <c r="B51" s="7"/>
      <c r="C51" s="5"/>
      <c r="D51" s="5"/>
      <c r="E51" s="5"/>
      <c r="F51" s="5"/>
      <c r="G51" s="5"/>
      <c r="H51" s="5"/>
      <c r="I51" s="5"/>
      <c r="J51" s="5"/>
      <c r="K51" s="5"/>
      <c r="L51" s="5"/>
      <c r="M51" s="84"/>
    </row>
    <row r="52" spans="1:2" s="5" customFormat="1" ht="11.25">
      <c r="A52" s="26" t="s">
        <v>448</v>
      </c>
      <c r="B52" s="7"/>
    </row>
  </sheetData>
  <sheetProtection password="EA98" sheet="1" objects="1" scenarios="1" formatColumns="0" selectLockedCells="1"/>
  <mergeCells count="13">
    <mergeCell ref="O4:P4"/>
    <mergeCell ref="Q4:R4"/>
    <mergeCell ref="S4:T4"/>
    <mergeCell ref="Y4:Z4"/>
    <mergeCell ref="U4:V4"/>
    <mergeCell ref="W4:X4"/>
    <mergeCell ref="A1:W1"/>
    <mergeCell ref="S2:Z2"/>
    <mergeCell ref="M4:N4"/>
    <mergeCell ref="C4:D4"/>
    <mergeCell ref="G4:H4"/>
    <mergeCell ref="I4:J4"/>
    <mergeCell ref="K4:L4"/>
  </mergeCells>
  <printOptions horizontalCentered="1" verticalCentered="1"/>
  <pageMargins left="0" right="0" top="0.1968503937007874" bottom="0.17" header="0.23" footer="0.18"/>
  <pageSetup fitToHeight="1" fitToWidth="1" horizontalDpi="600" verticalDpi="600" orientation="landscape" paperSize="9" scale="6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6"/>
  <dimension ref="A1:T51"/>
  <sheetViews>
    <sheetView showGridLines="0" zoomScalePageLayoutView="0" workbookViewId="0" topLeftCell="A1">
      <pane xSplit="2" ySplit="5" topLeftCell="J24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F34" sqref="F34"/>
    </sheetView>
  </sheetViews>
  <sheetFormatPr defaultColWidth="10.66015625" defaultRowHeight="10.5"/>
  <cols>
    <col min="1" max="1" width="38.33203125" style="36" customWidth="1"/>
    <col min="2" max="2" width="12.5" style="36" customWidth="1"/>
    <col min="3" max="16" width="13.66015625" style="36" customWidth="1"/>
    <col min="17" max="16384" width="10.66015625" style="36" customWidth="1"/>
  </cols>
  <sheetData>
    <row r="1" spans="1:17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3"/>
      <c r="P1" s="370"/>
      <c r="Q1"/>
    </row>
    <row r="2" spans="1:17" s="5" customFormat="1" ht="5.2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3"/>
      <c r="P2" s="370"/>
      <c r="Q2"/>
    </row>
    <row r="3" spans="13:16" ht="30" customHeight="1" thickBot="1">
      <c r="M3" s="1397"/>
      <c r="N3" s="1397"/>
      <c r="O3" s="1397"/>
      <c r="P3" s="1397"/>
    </row>
    <row r="4" spans="1:16" ht="24.75" customHeight="1">
      <c r="A4" s="328" t="s">
        <v>149</v>
      </c>
      <c r="B4" s="307" t="s">
        <v>74</v>
      </c>
      <c r="C4" s="37" t="s">
        <v>82</v>
      </c>
      <c r="D4" s="38"/>
      <c r="E4" s="37" t="s">
        <v>83</v>
      </c>
      <c r="F4" s="38"/>
      <c r="G4" s="1444" t="s">
        <v>57</v>
      </c>
      <c r="H4" s="1445"/>
      <c r="I4" s="1444" t="s">
        <v>84</v>
      </c>
      <c r="J4" s="1445"/>
      <c r="K4" s="1444" t="s">
        <v>58</v>
      </c>
      <c r="L4" s="1445"/>
      <c r="M4" s="1444" t="s">
        <v>59</v>
      </c>
      <c r="N4" s="1445"/>
      <c r="O4" s="670" t="s">
        <v>78</v>
      </c>
      <c r="P4" s="671"/>
    </row>
    <row r="5" spans="1:16" ht="14.25" customHeight="1" thickBot="1">
      <c r="A5" s="39"/>
      <c r="B5" s="40"/>
      <c r="C5" s="41" t="s">
        <v>76</v>
      </c>
      <c r="D5" s="42" t="s">
        <v>77</v>
      </c>
      <c r="E5" s="41" t="s">
        <v>76</v>
      </c>
      <c r="F5" s="42" t="s">
        <v>77</v>
      </c>
      <c r="G5" s="41" t="s">
        <v>76</v>
      </c>
      <c r="H5" s="43" t="s">
        <v>77</v>
      </c>
      <c r="I5" s="41" t="s">
        <v>76</v>
      </c>
      <c r="J5" s="43" t="s">
        <v>77</v>
      </c>
      <c r="K5" s="41" t="s">
        <v>76</v>
      </c>
      <c r="L5" s="44" t="s">
        <v>77</v>
      </c>
      <c r="M5" s="41" t="s">
        <v>76</v>
      </c>
      <c r="N5" s="44" t="s">
        <v>77</v>
      </c>
      <c r="O5" s="674" t="s">
        <v>76</v>
      </c>
      <c r="P5" s="676" t="s">
        <v>77</v>
      </c>
    </row>
    <row r="6" spans="1:16" ht="13.5" customHeight="1" thickTop="1">
      <c r="A6" s="25" t="str">
        <f>'t1'!A6</f>
        <v>SEGRETARIO A</v>
      </c>
      <c r="B6" s="257" t="str">
        <f>'t1'!B6</f>
        <v>0D0102</v>
      </c>
      <c r="C6" s="390"/>
      <c r="D6" s="391"/>
      <c r="E6" s="390"/>
      <c r="F6" s="391"/>
      <c r="G6" s="390"/>
      <c r="H6" s="392"/>
      <c r="I6" s="666">
        <v>1</v>
      </c>
      <c r="J6" s="392"/>
      <c r="K6" s="666"/>
      <c r="L6" s="392"/>
      <c r="M6" s="393"/>
      <c r="N6" s="394"/>
      <c r="O6" s="673">
        <f>SUM(C6,E6,G6,I6,K6,M6)</f>
        <v>1</v>
      </c>
      <c r="P6" s="677">
        <f>SUM(D6,F6,H6,J6,L6,N6)</f>
        <v>0</v>
      </c>
    </row>
    <row r="7" spans="1:16" ht="13.5" customHeight="1">
      <c r="A7" s="168" t="str">
        <f>'t1'!A7</f>
        <v>SEGRETARIO B</v>
      </c>
      <c r="B7" s="249" t="str">
        <f>'t1'!B7</f>
        <v>0D0103</v>
      </c>
      <c r="C7" s="395"/>
      <c r="D7" s="396"/>
      <c r="E7" s="395"/>
      <c r="F7" s="396"/>
      <c r="G7" s="395"/>
      <c r="H7" s="397"/>
      <c r="I7" s="667"/>
      <c r="J7" s="397"/>
      <c r="K7" s="667"/>
      <c r="L7" s="397"/>
      <c r="M7" s="398"/>
      <c r="N7" s="399"/>
      <c r="O7" s="562">
        <f aca="true" t="shared" si="0" ref="O7:O48">SUM(C7,E7,G7,I7,K7,M7)</f>
        <v>0</v>
      </c>
      <c r="P7" s="563">
        <f aca="true" t="shared" si="1" ref="P7:P48">SUM(D7,F7,H7,J7,L7,N7)</f>
        <v>0</v>
      </c>
    </row>
    <row r="8" spans="1:16" ht="13.5" customHeight="1">
      <c r="A8" s="168" t="str">
        <f>'t1'!A8</f>
        <v>SEGRETARIO C</v>
      </c>
      <c r="B8" s="249" t="str">
        <f>'t1'!B8</f>
        <v>0D0485</v>
      </c>
      <c r="C8" s="395"/>
      <c r="D8" s="396"/>
      <c r="E8" s="395"/>
      <c r="F8" s="396"/>
      <c r="G8" s="395"/>
      <c r="H8" s="397"/>
      <c r="I8" s="667"/>
      <c r="J8" s="397"/>
      <c r="K8" s="667"/>
      <c r="L8" s="397"/>
      <c r="M8" s="398"/>
      <c r="N8" s="399"/>
      <c r="O8" s="562">
        <f t="shared" si="0"/>
        <v>0</v>
      </c>
      <c r="P8" s="563">
        <f t="shared" si="1"/>
        <v>0</v>
      </c>
    </row>
    <row r="9" spans="1:16" ht="13.5" customHeight="1">
      <c r="A9" s="168" t="str">
        <f>'t1'!A9</f>
        <v>SEGRETARIO GENERALE CCIAA</v>
      </c>
      <c r="B9" s="249" t="str">
        <f>'t1'!B9</f>
        <v>0D0104</v>
      </c>
      <c r="C9" s="395"/>
      <c r="D9" s="396"/>
      <c r="E9" s="395"/>
      <c r="F9" s="396"/>
      <c r="G9" s="395"/>
      <c r="H9" s="397"/>
      <c r="I9" s="667"/>
      <c r="J9" s="397"/>
      <c r="K9" s="667"/>
      <c r="L9" s="397"/>
      <c r="M9" s="398"/>
      <c r="N9" s="399"/>
      <c r="O9" s="562">
        <f t="shared" si="0"/>
        <v>0</v>
      </c>
      <c r="P9" s="563">
        <f t="shared" si="1"/>
        <v>0</v>
      </c>
    </row>
    <row r="10" spans="1:16" ht="13.5" customHeight="1">
      <c r="A10" s="168" t="str">
        <f>'t1'!A10</f>
        <v>DIRETTORE  GENERALE</v>
      </c>
      <c r="B10" s="249" t="str">
        <f>'t1'!B10</f>
        <v>0D0097</v>
      </c>
      <c r="C10" s="395"/>
      <c r="D10" s="396"/>
      <c r="E10" s="395"/>
      <c r="F10" s="396"/>
      <c r="G10" s="395"/>
      <c r="H10" s="397"/>
      <c r="I10" s="667"/>
      <c r="J10" s="397"/>
      <c r="K10" s="667"/>
      <c r="L10" s="397"/>
      <c r="M10" s="398"/>
      <c r="N10" s="399"/>
      <c r="O10" s="562">
        <f t="shared" si="0"/>
        <v>0</v>
      </c>
      <c r="P10" s="563">
        <f t="shared" si="1"/>
        <v>0</v>
      </c>
    </row>
    <row r="11" spans="1:16" ht="13.5" customHeight="1">
      <c r="A11" s="168" t="str">
        <f>'t1'!A11</f>
        <v>DIRIGENTE FUORI D.O.</v>
      </c>
      <c r="B11" s="249" t="str">
        <f>'t1'!B11</f>
        <v>0D0098</v>
      </c>
      <c r="C11" s="395"/>
      <c r="D11" s="396"/>
      <c r="E11" s="395"/>
      <c r="F11" s="396"/>
      <c r="G11" s="395"/>
      <c r="H11" s="397"/>
      <c r="I11" s="667"/>
      <c r="J11" s="397"/>
      <c r="K11" s="667"/>
      <c r="L11" s="397"/>
      <c r="M11" s="398"/>
      <c r="N11" s="399"/>
      <c r="O11" s="562">
        <f t="shared" si="0"/>
        <v>0</v>
      </c>
      <c r="P11" s="563">
        <f t="shared" si="1"/>
        <v>0</v>
      </c>
    </row>
    <row r="12" spans="1:16" ht="13.5" customHeight="1">
      <c r="A12" s="168" t="str">
        <f>'t1'!A12</f>
        <v>ALTE SPECIALIZZ. FUORI D.O.</v>
      </c>
      <c r="B12" s="249" t="str">
        <f>'t1'!B12</f>
        <v>0D0095</v>
      </c>
      <c r="C12" s="395"/>
      <c r="D12" s="396"/>
      <c r="E12" s="395"/>
      <c r="F12" s="396"/>
      <c r="G12" s="395"/>
      <c r="H12" s="397"/>
      <c r="I12" s="667"/>
      <c r="J12" s="397"/>
      <c r="K12" s="667"/>
      <c r="L12" s="397"/>
      <c r="M12" s="398"/>
      <c r="N12" s="399"/>
      <c r="O12" s="562">
        <f t="shared" si="0"/>
        <v>0</v>
      </c>
      <c r="P12" s="563">
        <f t="shared" si="1"/>
        <v>0</v>
      </c>
    </row>
    <row r="13" spans="1:16" ht="13.5" customHeight="1">
      <c r="A13" s="168" t="str">
        <f>'t1'!A13</f>
        <v>QUALIFICA DIRIGENZIALE TEMPO INDET.</v>
      </c>
      <c r="B13" s="249" t="str">
        <f>'t1'!B13</f>
        <v>0D0100</v>
      </c>
      <c r="C13" s="395"/>
      <c r="D13" s="396"/>
      <c r="E13" s="395"/>
      <c r="F13" s="396"/>
      <c r="G13" s="395"/>
      <c r="H13" s="397"/>
      <c r="I13" s="667"/>
      <c r="J13" s="397">
        <v>1</v>
      </c>
      <c r="K13" s="667"/>
      <c r="L13" s="397"/>
      <c r="M13" s="398"/>
      <c r="N13" s="399"/>
      <c r="O13" s="562">
        <f t="shared" si="0"/>
        <v>0</v>
      </c>
      <c r="P13" s="563">
        <f t="shared" si="1"/>
        <v>1</v>
      </c>
    </row>
    <row r="14" spans="1:16" ht="13.5" customHeight="1">
      <c r="A14" s="168" t="str">
        <f>'t1'!A14</f>
        <v>QUALIFICA DIRIGENZIALE TEMPO DETER.</v>
      </c>
      <c r="B14" s="249" t="str">
        <f>'t1'!B14</f>
        <v>0D0099</v>
      </c>
      <c r="C14" s="395"/>
      <c r="D14" s="396"/>
      <c r="E14" s="395"/>
      <c r="F14" s="396"/>
      <c r="G14" s="395"/>
      <c r="H14" s="397"/>
      <c r="I14" s="667">
        <v>9</v>
      </c>
      <c r="J14" s="397"/>
      <c r="K14" s="667">
        <v>1</v>
      </c>
      <c r="L14" s="397"/>
      <c r="M14" s="398"/>
      <c r="N14" s="399"/>
      <c r="O14" s="562">
        <f t="shared" si="0"/>
        <v>10</v>
      </c>
      <c r="P14" s="563">
        <f t="shared" si="1"/>
        <v>0</v>
      </c>
    </row>
    <row r="15" spans="1:16" ht="13.5" customHeight="1">
      <c r="A15" s="168" t="str">
        <f>'t1'!A15</f>
        <v>POSIZ. ECON. D6 - PROFILI ACCESSO D3</v>
      </c>
      <c r="B15" s="249" t="str">
        <f>'t1'!B15</f>
        <v>0D6A00</v>
      </c>
      <c r="C15" s="395"/>
      <c r="D15" s="396"/>
      <c r="E15" s="395"/>
      <c r="F15" s="396"/>
      <c r="G15" s="395"/>
      <c r="H15" s="397"/>
      <c r="I15" s="667">
        <v>5</v>
      </c>
      <c r="J15" s="397">
        <v>3</v>
      </c>
      <c r="K15" s="667"/>
      <c r="L15" s="397"/>
      <c r="M15" s="398"/>
      <c r="N15" s="399"/>
      <c r="O15" s="562">
        <f t="shared" si="0"/>
        <v>5</v>
      </c>
      <c r="P15" s="563">
        <f t="shared" si="1"/>
        <v>3</v>
      </c>
    </row>
    <row r="16" spans="1:16" ht="13.5" customHeight="1">
      <c r="A16" s="168" t="str">
        <f>'t1'!A16</f>
        <v>POSIZ. ECON. D6 - PROFILO ACCESSO D1</v>
      </c>
      <c r="B16" s="249" t="str">
        <f>'t1'!B16</f>
        <v>0D6000</v>
      </c>
      <c r="C16" s="395"/>
      <c r="D16" s="396"/>
      <c r="E16" s="395"/>
      <c r="F16" s="396"/>
      <c r="G16" s="395"/>
      <c r="H16" s="397"/>
      <c r="I16" s="667"/>
      <c r="J16" s="397"/>
      <c r="K16" s="667"/>
      <c r="L16" s="397"/>
      <c r="M16" s="398"/>
      <c r="N16" s="399"/>
      <c r="O16" s="562">
        <f t="shared" si="0"/>
        <v>0</v>
      </c>
      <c r="P16" s="563">
        <f t="shared" si="1"/>
        <v>0</v>
      </c>
    </row>
    <row r="17" spans="1:16" ht="13.5" customHeight="1">
      <c r="A17" s="168" t="str">
        <f>'t1'!A17</f>
        <v>POSIZ.ECON. D5 PROFILI ACCESSO D3</v>
      </c>
      <c r="B17" s="249" t="str">
        <f>'t1'!B17</f>
        <v>052486</v>
      </c>
      <c r="C17" s="395"/>
      <c r="D17" s="396"/>
      <c r="E17" s="395">
        <v>2</v>
      </c>
      <c r="F17" s="396"/>
      <c r="G17" s="395"/>
      <c r="H17" s="397"/>
      <c r="I17" s="667">
        <v>4</v>
      </c>
      <c r="J17" s="397">
        <v>1</v>
      </c>
      <c r="K17" s="667"/>
      <c r="L17" s="397">
        <v>1</v>
      </c>
      <c r="M17" s="398"/>
      <c r="N17" s="399"/>
      <c r="O17" s="562">
        <f t="shared" si="0"/>
        <v>6</v>
      </c>
      <c r="P17" s="563">
        <f t="shared" si="1"/>
        <v>2</v>
      </c>
    </row>
    <row r="18" spans="1:16" ht="13.5" customHeight="1">
      <c r="A18" s="168" t="str">
        <f>'t1'!A18</f>
        <v>POSIZ.ECON. D5 PROFILI ACCESSO D1</v>
      </c>
      <c r="B18" s="249" t="str">
        <f>'t1'!B18</f>
        <v>052487</v>
      </c>
      <c r="C18" s="395"/>
      <c r="D18" s="396"/>
      <c r="E18" s="395">
        <v>1</v>
      </c>
      <c r="F18" s="396"/>
      <c r="G18" s="395"/>
      <c r="H18" s="397"/>
      <c r="I18" s="667"/>
      <c r="J18" s="397"/>
      <c r="K18" s="667"/>
      <c r="L18" s="397"/>
      <c r="M18" s="398"/>
      <c r="N18" s="399"/>
      <c r="O18" s="562">
        <f t="shared" si="0"/>
        <v>1</v>
      </c>
      <c r="P18" s="563">
        <f t="shared" si="1"/>
        <v>0</v>
      </c>
    </row>
    <row r="19" spans="1:16" ht="13.5" customHeight="1">
      <c r="A19" s="168" t="str">
        <f>'t1'!A19</f>
        <v>POSIZ.ECON. D4 PROFILI ACCESSO D3</v>
      </c>
      <c r="B19" s="249" t="str">
        <f>'t1'!B19</f>
        <v>051488</v>
      </c>
      <c r="C19" s="395"/>
      <c r="D19" s="396"/>
      <c r="E19" s="395">
        <v>1</v>
      </c>
      <c r="F19" s="396"/>
      <c r="G19" s="395"/>
      <c r="H19" s="397"/>
      <c r="I19" s="667">
        <v>7</v>
      </c>
      <c r="J19" s="397">
        <v>5</v>
      </c>
      <c r="K19" s="667">
        <v>1</v>
      </c>
      <c r="L19" s="397"/>
      <c r="M19" s="398"/>
      <c r="N19" s="399"/>
      <c r="O19" s="562">
        <f t="shared" si="0"/>
        <v>9</v>
      </c>
      <c r="P19" s="563">
        <f t="shared" si="1"/>
        <v>5</v>
      </c>
    </row>
    <row r="20" spans="1:16" ht="13.5" customHeight="1">
      <c r="A20" s="168" t="str">
        <f>'t1'!A20</f>
        <v>POSIZ.ECON. D4 PROFILI ACCESSO D1</v>
      </c>
      <c r="B20" s="249" t="str">
        <f>'t1'!B20</f>
        <v>051489</v>
      </c>
      <c r="C20" s="395"/>
      <c r="D20" s="396"/>
      <c r="E20" s="395"/>
      <c r="F20" s="396"/>
      <c r="G20" s="395"/>
      <c r="H20" s="397"/>
      <c r="I20" s="667">
        <v>3</v>
      </c>
      <c r="J20" s="397"/>
      <c r="K20" s="667"/>
      <c r="L20" s="397"/>
      <c r="M20" s="398"/>
      <c r="N20" s="399"/>
      <c r="O20" s="562">
        <f t="shared" si="0"/>
        <v>3</v>
      </c>
      <c r="P20" s="563">
        <f t="shared" si="1"/>
        <v>0</v>
      </c>
    </row>
    <row r="21" spans="1:16" ht="13.5" customHeight="1">
      <c r="A21" s="168" t="str">
        <f>'t1'!A21</f>
        <v>POSIZIONE ECONOMICA DI ACCESSO D3</v>
      </c>
      <c r="B21" s="249" t="str">
        <f>'t1'!B21</f>
        <v>058000</v>
      </c>
      <c r="C21" s="395"/>
      <c r="D21" s="396"/>
      <c r="E21" s="395"/>
      <c r="F21" s="396"/>
      <c r="G21" s="395"/>
      <c r="H21" s="397"/>
      <c r="I21" s="667">
        <v>1</v>
      </c>
      <c r="J21" s="397"/>
      <c r="K21" s="667"/>
      <c r="L21" s="397">
        <v>1</v>
      </c>
      <c r="M21" s="398"/>
      <c r="N21" s="399"/>
      <c r="O21" s="562">
        <f t="shared" si="0"/>
        <v>1</v>
      </c>
      <c r="P21" s="563">
        <f t="shared" si="1"/>
        <v>1</v>
      </c>
    </row>
    <row r="22" spans="1:16" ht="13.5" customHeight="1">
      <c r="A22" s="168" t="str">
        <f>'t1'!A22</f>
        <v>POSIZIONE ECONOMICA D3</v>
      </c>
      <c r="B22" s="249" t="str">
        <f>'t1'!B22</f>
        <v>050000</v>
      </c>
      <c r="C22" s="395"/>
      <c r="D22" s="396"/>
      <c r="E22" s="395">
        <v>7</v>
      </c>
      <c r="F22" s="396">
        <v>3</v>
      </c>
      <c r="G22" s="395">
        <v>1</v>
      </c>
      <c r="H22" s="397"/>
      <c r="I22" s="667"/>
      <c r="J22" s="397">
        <v>1</v>
      </c>
      <c r="K22" s="667"/>
      <c r="L22" s="397"/>
      <c r="M22" s="398"/>
      <c r="N22" s="399"/>
      <c r="O22" s="562">
        <f t="shared" si="0"/>
        <v>8</v>
      </c>
      <c r="P22" s="563">
        <f t="shared" si="1"/>
        <v>4</v>
      </c>
    </row>
    <row r="23" spans="1:16" ht="13.5" customHeight="1">
      <c r="A23" s="168" t="str">
        <f>'t1'!A23</f>
        <v>POSIZIONE ECONOMICA D2</v>
      </c>
      <c r="B23" s="249" t="str">
        <f>'t1'!B23</f>
        <v>049000</v>
      </c>
      <c r="C23" s="395"/>
      <c r="D23" s="396"/>
      <c r="E23" s="395">
        <v>29</v>
      </c>
      <c r="F23" s="396">
        <v>4</v>
      </c>
      <c r="G23" s="395"/>
      <c r="H23" s="397"/>
      <c r="I23" s="667">
        <v>4</v>
      </c>
      <c r="J23" s="397">
        <v>3</v>
      </c>
      <c r="K23" s="667"/>
      <c r="L23" s="397"/>
      <c r="M23" s="398"/>
      <c r="N23" s="399"/>
      <c r="O23" s="562">
        <f t="shared" si="0"/>
        <v>33</v>
      </c>
      <c r="P23" s="563">
        <f t="shared" si="1"/>
        <v>7</v>
      </c>
    </row>
    <row r="24" spans="1:16" ht="13.5" customHeight="1">
      <c r="A24" s="168" t="str">
        <f>'t1'!A24</f>
        <v>POSIZIONE ECONOMICA DI ACCESSO D1</v>
      </c>
      <c r="B24" s="249" t="str">
        <f>'t1'!B24</f>
        <v>057000</v>
      </c>
      <c r="C24" s="395"/>
      <c r="D24" s="396"/>
      <c r="E24" s="395">
        <v>1</v>
      </c>
      <c r="F24" s="396"/>
      <c r="G24" s="395"/>
      <c r="H24" s="397"/>
      <c r="I24" s="667">
        <v>1</v>
      </c>
      <c r="J24" s="397">
        <v>1</v>
      </c>
      <c r="K24" s="667"/>
      <c r="L24" s="397"/>
      <c r="M24" s="398"/>
      <c r="N24" s="399"/>
      <c r="O24" s="562">
        <f t="shared" si="0"/>
        <v>2</v>
      </c>
      <c r="P24" s="563">
        <f t="shared" si="1"/>
        <v>1</v>
      </c>
    </row>
    <row r="25" spans="1:16" ht="13.5" customHeight="1">
      <c r="A25" s="168" t="str">
        <f>'t1'!A25</f>
        <v>POSIZIONE ECONOMICA C5</v>
      </c>
      <c r="B25" s="249" t="str">
        <f>'t1'!B25</f>
        <v>046000</v>
      </c>
      <c r="C25" s="395"/>
      <c r="D25" s="396"/>
      <c r="E25" s="395">
        <v>2</v>
      </c>
      <c r="F25" s="396"/>
      <c r="G25" s="395"/>
      <c r="H25" s="397"/>
      <c r="I25" s="667">
        <v>2</v>
      </c>
      <c r="J25" s="397"/>
      <c r="K25" s="667"/>
      <c r="L25" s="397"/>
      <c r="M25" s="398"/>
      <c r="N25" s="399"/>
      <c r="O25" s="562">
        <f t="shared" si="0"/>
        <v>4</v>
      </c>
      <c r="P25" s="563">
        <f t="shared" si="1"/>
        <v>0</v>
      </c>
    </row>
    <row r="26" spans="1:16" ht="13.5" customHeight="1">
      <c r="A26" s="168" t="str">
        <f>'t1'!A26</f>
        <v>POSIZIONE ECONOMICA C4</v>
      </c>
      <c r="B26" s="249" t="str">
        <f>'t1'!B26</f>
        <v>045000</v>
      </c>
      <c r="C26" s="395">
        <v>2</v>
      </c>
      <c r="D26" s="396"/>
      <c r="E26" s="395">
        <v>15</v>
      </c>
      <c r="F26" s="396">
        <v>3</v>
      </c>
      <c r="G26" s="395"/>
      <c r="H26" s="397"/>
      <c r="I26" s="667"/>
      <c r="J26" s="397"/>
      <c r="K26" s="667"/>
      <c r="L26" s="397"/>
      <c r="M26" s="398"/>
      <c r="N26" s="399"/>
      <c r="O26" s="562">
        <f t="shared" si="0"/>
        <v>17</v>
      </c>
      <c r="P26" s="563">
        <f t="shared" si="1"/>
        <v>3</v>
      </c>
    </row>
    <row r="27" spans="1:16" ht="13.5" customHeight="1">
      <c r="A27" s="168" t="str">
        <f>'t1'!A27</f>
        <v>POSIZIONE ECONOMICA C3</v>
      </c>
      <c r="B27" s="249" t="str">
        <f>'t1'!B27</f>
        <v>043000</v>
      </c>
      <c r="C27" s="395">
        <v>1</v>
      </c>
      <c r="D27" s="396"/>
      <c r="E27" s="395">
        <v>17</v>
      </c>
      <c r="F27" s="396">
        <v>11</v>
      </c>
      <c r="G27" s="395"/>
      <c r="H27" s="397"/>
      <c r="I27" s="667"/>
      <c r="J27" s="397">
        <v>2</v>
      </c>
      <c r="K27" s="667"/>
      <c r="L27" s="397"/>
      <c r="M27" s="398"/>
      <c r="N27" s="399"/>
      <c r="O27" s="562">
        <f t="shared" si="0"/>
        <v>18</v>
      </c>
      <c r="P27" s="563">
        <f t="shared" si="1"/>
        <v>13</v>
      </c>
    </row>
    <row r="28" spans="1:16" ht="13.5" customHeight="1">
      <c r="A28" s="168" t="str">
        <f>'t1'!A28</f>
        <v>POSIZIONE ECONOMICA C2</v>
      </c>
      <c r="B28" s="249" t="str">
        <f>'t1'!B28</f>
        <v>042000</v>
      </c>
      <c r="C28" s="395">
        <v>10</v>
      </c>
      <c r="D28" s="396">
        <v>5</v>
      </c>
      <c r="E28" s="395">
        <v>12</v>
      </c>
      <c r="F28" s="396">
        <v>11</v>
      </c>
      <c r="G28" s="395"/>
      <c r="H28" s="397"/>
      <c r="I28" s="667">
        <v>1</v>
      </c>
      <c r="J28" s="397"/>
      <c r="K28" s="667"/>
      <c r="L28" s="397"/>
      <c r="M28" s="398"/>
      <c r="N28" s="399"/>
      <c r="O28" s="562">
        <f t="shared" si="0"/>
        <v>23</v>
      </c>
      <c r="P28" s="563">
        <f t="shared" si="1"/>
        <v>16</v>
      </c>
    </row>
    <row r="29" spans="1:16" ht="13.5" customHeight="1">
      <c r="A29" s="168" t="str">
        <f>'t1'!A29</f>
        <v>POSIZIONE ECONOMICA DI ACCESSO C1</v>
      </c>
      <c r="B29" s="249" t="str">
        <f>'t1'!B29</f>
        <v>056000</v>
      </c>
      <c r="C29" s="395"/>
      <c r="D29" s="396"/>
      <c r="E29" s="395"/>
      <c r="F29" s="396"/>
      <c r="G29" s="395"/>
      <c r="H29" s="397"/>
      <c r="I29" s="667"/>
      <c r="J29" s="397"/>
      <c r="K29" s="667"/>
      <c r="L29" s="397"/>
      <c r="M29" s="398"/>
      <c r="N29" s="399"/>
      <c r="O29" s="562">
        <f t="shared" si="0"/>
        <v>0</v>
      </c>
      <c r="P29" s="563">
        <f t="shared" si="1"/>
        <v>0</v>
      </c>
    </row>
    <row r="30" spans="1:16" ht="13.5" customHeight="1">
      <c r="A30" s="168" t="str">
        <f>'t1'!A30</f>
        <v>POSIZ. ECON. B7 - PROFILO ACCESSO B3</v>
      </c>
      <c r="B30" s="249" t="str">
        <f>'t1'!B30</f>
        <v>0B7A00</v>
      </c>
      <c r="C30" s="395"/>
      <c r="D30" s="396"/>
      <c r="E30" s="395"/>
      <c r="F30" s="396"/>
      <c r="G30" s="395"/>
      <c r="H30" s="397"/>
      <c r="I30" s="667"/>
      <c r="J30" s="397"/>
      <c r="K30" s="667"/>
      <c r="L30" s="397"/>
      <c r="M30" s="398"/>
      <c r="N30" s="399"/>
      <c r="O30" s="562">
        <f t="shared" si="0"/>
        <v>0</v>
      </c>
      <c r="P30" s="563">
        <f t="shared" si="1"/>
        <v>0</v>
      </c>
    </row>
    <row r="31" spans="1:16" ht="13.5" customHeight="1">
      <c r="A31" s="168" t="str">
        <f>'t1'!A31</f>
        <v>POSIZ. ECON. B7 - PROFILO  ACCESSO B1</v>
      </c>
      <c r="B31" s="249" t="str">
        <f>'t1'!B31</f>
        <v>0B7000</v>
      </c>
      <c r="C31" s="395"/>
      <c r="D31" s="396"/>
      <c r="E31" s="395"/>
      <c r="F31" s="396"/>
      <c r="G31" s="395"/>
      <c r="H31" s="397"/>
      <c r="I31" s="667"/>
      <c r="J31" s="397"/>
      <c r="K31" s="667"/>
      <c r="L31" s="397"/>
      <c r="M31" s="398"/>
      <c r="N31" s="399"/>
      <c r="O31" s="562">
        <f t="shared" si="0"/>
        <v>0</v>
      </c>
      <c r="P31" s="563">
        <f t="shared" si="1"/>
        <v>0</v>
      </c>
    </row>
    <row r="32" spans="1:16" ht="13.5" customHeight="1">
      <c r="A32" s="168" t="str">
        <f>'t1'!A32</f>
        <v>POSIZ.ECON. B6 PROFILI ACCESSO B3</v>
      </c>
      <c r="B32" s="249" t="str">
        <f>'t1'!B32</f>
        <v>038490</v>
      </c>
      <c r="C32" s="395"/>
      <c r="D32" s="396"/>
      <c r="E32" s="395"/>
      <c r="F32" s="396"/>
      <c r="G32" s="395"/>
      <c r="H32" s="397"/>
      <c r="I32" s="667"/>
      <c r="J32" s="397"/>
      <c r="K32" s="667"/>
      <c r="L32" s="397"/>
      <c r="M32" s="398"/>
      <c r="N32" s="399"/>
      <c r="O32" s="562">
        <f t="shared" si="0"/>
        <v>0</v>
      </c>
      <c r="P32" s="563">
        <f t="shared" si="1"/>
        <v>0</v>
      </c>
    </row>
    <row r="33" spans="1:16" ht="13.5" customHeight="1">
      <c r="A33" s="168" t="str">
        <f>'t1'!A33</f>
        <v>POSIZ.ECON. B6 PROFILI ACCESSO B1</v>
      </c>
      <c r="B33" s="249" t="str">
        <f>'t1'!B33</f>
        <v>038491</v>
      </c>
      <c r="C33" s="395"/>
      <c r="D33" s="396"/>
      <c r="E33" s="395"/>
      <c r="F33" s="396"/>
      <c r="G33" s="395"/>
      <c r="H33" s="397"/>
      <c r="I33" s="667"/>
      <c r="J33" s="397"/>
      <c r="K33" s="667"/>
      <c r="L33" s="397"/>
      <c r="M33" s="398"/>
      <c r="N33" s="399"/>
      <c r="O33" s="562">
        <f t="shared" si="0"/>
        <v>0</v>
      </c>
      <c r="P33" s="563">
        <f t="shared" si="1"/>
        <v>0</v>
      </c>
    </row>
    <row r="34" spans="1:16" ht="13.5" customHeight="1">
      <c r="A34" s="168" t="str">
        <f>'t1'!A34</f>
        <v>POSIZ.ECON. B5 PROFILI ACCESSO B3</v>
      </c>
      <c r="B34" s="249" t="str">
        <f>'t1'!B34</f>
        <v>037492</v>
      </c>
      <c r="C34" s="395"/>
      <c r="D34" s="396"/>
      <c r="E34" s="395">
        <v>1</v>
      </c>
      <c r="F34" s="396"/>
      <c r="G34" s="395"/>
      <c r="H34" s="397"/>
      <c r="I34" s="667"/>
      <c r="J34" s="397"/>
      <c r="K34" s="667"/>
      <c r="L34" s="397"/>
      <c r="M34" s="398"/>
      <c r="N34" s="399"/>
      <c r="O34" s="562">
        <f t="shared" si="0"/>
        <v>1</v>
      </c>
      <c r="P34" s="563">
        <f t="shared" si="1"/>
        <v>0</v>
      </c>
    </row>
    <row r="35" spans="1:16" ht="13.5" customHeight="1">
      <c r="A35" s="168" t="str">
        <f>'t1'!A35</f>
        <v>POSIZ.ECON. B5 PROFILI ACCESSO B1</v>
      </c>
      <c r="B35" s="249" t="str">
        <f>'t1'!B35</f>
        <v>037493</v>
      </c>
      <c r="C35" s="395"/>
      <c r="D35" s="396"/>
      <c r="E35" s="395"/>
      <c r="F35" s="396"/>
      <c r="G35" s="395"/>
      <c r="H35" s="397"/>
      <c r="I35" s="667"/>
      <c r="J35" s="397"/>
      <c r="K35" s="667"/>
      <c r="L35" s="397"/>
      <c r="M35" s="398"/>
      <c r="N35" s="399"/>
      <c r="O35" s="562">
        <f t="shared" si="0"/>
        <v>0</v>
      </c>
      <c r="P35" s="563">
        <f t="shared" si="1"/>
        <v>0</v>
      </c>
    </row>
    <row r="36" spans="1:16" ht="13.5" customHeight="1">
      <c r="A36" s="168" t="str">
        <f>'t1'!A36</f>
        <v>POSIZ.ECON. B4 PROFILI ACCESSO B3</v>
      </c>
      <c r="B36" s="249" t="str">
        <f>'t1'!B36</f>
        <v>036494</v>
      </c>
      <c r="C36" s="395">
        <v>26</v>
      </c>
      <c r="D36" s="396"/>
      <c r="E36" s="395">
        <v>4</v>
      </c>
      <c r="F36" s="396"/>
      <c r="G36" s="395"/>
      <c r="H36" s="397"/>
      <c r="I36" s="667"/>
      <c r="J36" s="397"/>
      <c r="K36" s="667"/>
      <c r="L36" s="397"/>
      <c r="M36" s="398"/>
      <c r="N36" s="399"/>
      <c r="O36" s="562">
        <f t="shared" si="0"/>
        <v>30</v>
      </c>
      <c r="P36" s="563">
        <f t="shared" si="1"/>
        <v>0</v>
      </c>
    </row>
    <row r="37" spans="1:16" ht="13.5" customHeight="1">
      <c r="A37" s="168" t="str">
        <f>'t1'!A37</f>
        <v>POSIZ.ECON. B4 PROFILI ACCESSO B1</v>
      </c>
      <c r="B37" s="249" t="str">
        <f>'t1'!B37</f>
        <v>036495</v>
      </c>
      <c r="C37" s="395">
        <v>1</v>
      </c>
      <c r="D37" s="396"/>
      <c r="E37" s="395"/>
      <c r="F37" s="396">
        <v>1</v>
      </c>
      <c r="G37" s="395"/>
      <c r="H37" s="397"/>
      <c r="I37" s="667"/>
      <c r="J37" s="397"/>
      <c r="K37" s="667"/>
      <c r="L37" s="397"/>
      <c r="M37" s="398"/>
      <c r="N37" s="399"/>
      <c r="O37" s="562">
        <f t="shared" si="0"/>
        <v>1</v>
      </c>
      <c r="P37" s="563">
        <f t="shared" si="1"/>
        <v>1</v>
      </c>
    </row>
    <row r="38" spans="1:16" ht="13.5" customHeight="1">
      <c r="A38" s="168" t="str">
        <f>'t1'!A38</f>
        <v>POSIZIONE ECONOMICA DI ACCESSO B3</v>
      </c>
      <c r="B38" s="249" t="str">
        <f>'t1'!B38</f>
        <v>055000</v>
      </c>
      <c r="C38" s="395">
        <v>11</v>
      </c>
      <c r="D38" s="396"/>
      <c r="E38" s="395">
        <v>1</v>
      </c>
      <c r="F38" s="396"/>
      <c r="G38" s="395"/>
      <c r="H38" s="397"/>
      <c r="I38" s="667"/>
      <c r="J38" s="397"/>
      <c r="K38" s="667"/>
      <c r="L38" s="397"/>
      <c r="M38" s="398"/>
      <c r="N38" s="399"/>
      <c r="O38" s="562">
        <f t="shared" si="0"/>
        <v>12</v>
      </c>
      <c r="P38" s="563">
        <f t="shared" si="1"/>
        <v>0</v>
      </c>
    </row>
    <row r="39" spans="1:16" ht="13.5" customHeight="1">
      <c r="A39" s="168" t="str">
        <f>'t1'!A39</f>
        <v>POSIZIONE ECONOMICA B3</v>
      </c>
      <c r="B39" s="249" t="str">
        <f>'t1'!B39</f>
        <v>034000</v>
      </c>
      <c r="C39" s="395">
        <v>4</v>
      </c>
      <c r="D39" s="396">
        <v>4</v>
      </c>
      <c r="E39" s="395">
        <v>4</v>
      </c>
      <c r="F39" s="396">
        <v>1</v>
      </c>
      <c r="G39" s="395"/>
      <c r="H39" s="397"/>
      <c r="I39" s="667"/>
      <c r="J39" s="397"/>
      <c r="K39" s="667"/>
      <c r="L39" s="397"/>
      <c r="M39" s="398"/>
      <c r="N39" s="399"/>
      <c r="O39" s="562">
        <f t="shared" si="0"/>
        <v>8</v>
      </c>
      <c r="P39" s="563">
        <f t="shared" si="1"/>
        <v>5</v>
      </c>
    </row>
    <row r="40" spans="1:16" ht="13.5" customHeight="1">
      <c r="A40" s="168" t="str">
        <f>'t1'!A40</f>
        <v>POSIZIONE ECONOMICA B2</v>
      </c>
      <c r="B40" s="249" t="str">
        <f>'t1'!B40</f>
        <v>032000</v>
      </c>
      <c r="C40" s="395">
        <v>4</v>
      </c>
      <c r="D40" s="396">
        <v>2</v>
      </c>
      <c r="E40" s="395"/>
      <c r="F40" s="396">
        <v>4</v>
      </c>
      <c r="G40" s="395"/>
      <c r="H40" s="397"/>
      <c r="I40" s="667"/>
      <c r="J40" s="397"/>
      <c r="K40" s="667"/>
      <c r="L40" s="397"/>
      <c r="M40" s="398"/>
      <c r="N40" s="399"/>
      <c r="O40" s="562">
        <f t="shared" si="0"/>
        <v>4</v>
      </c>
      <c r="P40" s="563">
        <f t="shared" si="1"/>
        <v>6</v>
      </c>
    </row>
    <row r="41" spans="1:16" ht="13.5" customHeight="1">
      <c r="A41" s="168" t="str">
        <f>'t1'!A41</f>
        <v>POSIZIONE ECONOMICA DI ACCESSO B1</v>
      </c>
      <c r="B41" s="249" t="str">
        <f>'t1'!B41</f>
        <v>054000</v>
      </c>
      <c r="C41" s="395"/>
      <c r="D41" s="396"/>
      <c r="E41" s="395"/>
      <c r="F41" s="396">
        <v>1</v>
      </c>
      <c r="G41" s="395"/>
      <c r="H41" s="397"/>
      <c r="I41" s="667"/>
      <c r="J41" s="397"/>
      <c r="K41" s="667"/>
      <c r="L41" s="397"/>
      <c r="M41" s="398"/>
      <c r="N41" s="399"/>
      <c r="O41" s="562">
        <f t="shared" si="0"/>
        <v>0</v>
      </c>
      <c r="P41" s="563">
        <f t="shared" si="1"/>
        <v>1</v>
      </c>
    </row>
    <row r="42" spans="1:16" ht="13.5" customHeight="1">
      <c r="A42" s="168" t="str">
        <f>'t1'!A42</f>
        <v>POSIZIONE ECONOMICA A5</v>
      </c>
      <c r="B42" s="249" t="str">
        <f>'t1'!B42</f>
        <v>0A5000</v>
      </c>
      <c r="C42" s="395"/>
      <c r="D42" s="396"/>
      <c r="E42" s="395"/>
      <c r="F42" s="396"/>
      <c r="G42" s="395"/>
      <c r="H42" s="397"/>
      <c r="I42" s="667"/>
      <c r="J42" s="397"/>
      <c r="K42" s="667"/>
      <c r="L42" s="397"/>
      <c r="M42" s="398"/>
      <c r="N42" s="399"/>
      <c r="O42" s="562">
        <f t="shared" si="0"/>
        <v>0</v>
      </c>
      <c r="P42" s="563">
        <f t="shared" si="1"/>
        <v>0</v>
      </c>
    </row>
    <row r="43" spans="1:16" ht="13.5" customHeight="1">
      <c r="A43" s="168" t="str">
        <f>'t1'!A43</f>
        <v>POSIZIONE ECONOMICA A4</v>
      </c>
      <c r="B43" s="249" t="str">
        <f>'t1'!B43</f>
        <v>028000</v>
      </c>
      <c r="C43" s="395"/>
      <c r="D43" s="396"/>
      <c r="E43" s="395"/>
      <c r="F43" s="396"/>
      <c r="G43" s="395"/>
      <c r="H43" s="397"/>
      <c r="I43" s="667"/>
      <c r="J43" s="397"/>
      <c r="K43" s="667"/>
      <c r="L43" s="397"/>
      <c r="M43" s="398"/>
      <c r="N43" s="399"/>
      <c r="O43" s="562">
        <f t="shared" si="0"/>
        <v>0</v>
      </c>
      <c r="P43" s="563">
        <f t="shared" si="1"/>
        <v>0</v>
      </c>
    </row>
    <row r="44" spans="1:16" ht="13.5" customHeight="1">
      <c r="A44" s="168" t="str">
        <f>'t1'!A44</f>
        <v>POSIZIONE ECONOMICA A3</v>
      </c>
      <c r="B44" s="249" t="str">
        <f>'t1'!B44</f>
        <v>027000</v>
      </c>
      <c r="C44" s="395"/>
      <c r="D44" s="396"/>
      <c r="E44" s="395"/>
      <c r="F44" s="396"/>
      <c r="G44" s="395"/>
      <c r="H44" s="397"/>
      <c r="I44" s="667"/>
      <c r="J44" s="397"/>
      <c r="K44" s="667"/>
      <c r="L44" s="397"/>
      <c r="M44" s="398"/>
      <c r="N44" s="399"/>
      <c r="O44" s="562">
        <f t="shared" si="0"/>
        <v>0</v>
      </c>
      <c r="P44" s="563">
        <f t="shared" si="1"/>
        <v>0</v>
      </c>
    </row>
    <row r="45" spans="1:16" ht="13.5" customHeight="1">
      <c r="A45" s="168" t="str">
        <f>'t1'!A45</f>
        <v>POSIZIONE ECONOMICA A2</v>
      </c>
      <c r="B45" s="249" t="str">
        <f>'t1'!B45</f>
        <v>025000</v>
      </c>
      <c r="C45" s="395"/>
      <c r="D45" s="396"/>
      <c r="E45" s="395"/>
      <c r="F45" s="396"/>
      <c r="G45" s="395"/>
      <c r="H45" s="397"/>
      <c r="I45" s="667"/>
      <c r="J45" s="397"/>
      <c r="K45" s="667"/>
      <c r="L45" s="397"/>
      <c r="M45" s="398"/>
      <c r="N45" s="399"/>
      <c r="O45" s="562">
        <f t="shared" si="0"/>
        <v>0</v>
      </c>
      <c r="P45" s="563">
        <f t="shared" si="1"/>
        <v>0</v>
      </c>
    </row>
    <row r="46" spans="1:16" ht="13.5" customHeight="1">
      <c r="A46" s="168" t="str">
        <f>'t1'!A46</f>
        <v>POSIZIONE ECONOMICA DI ACCESSO A1</v>
      </c>
      <c r="B46" s="249" t="str">
        <f>'t1'!B46</f>
        <v>053000</v>
      </c>
      <c r="C46" s="395"/>
      <c r="D46" s="396"/>
      <c r="E46" s="395">
        <v>1</v>
      </c>
      <c r="F46" s="396"/>
      <c r="G46" s="395"/>
      <c r="H46" s="397"/>
      <c r="I46" s="667"/>
      <c r="J46" s="397"/>
      <c r="K46" s="667"/>
      <c r="L46" s="397"/>
      <c r="M46" s="398"/>
      <c r="N46" s="399"/>
      <c r="O46" s="562">
        <f t="shared" si="0"/>
        <v>1</v>
      </c>
      <c r="P46" s="563">
        <f t="shared" si="1"/>
        <v>0</v>
      </c>
    </row>
    <row r="47" spans="1:16" ht="13.5" customHeight="1">
      <c r="A47" s="168" t="str">
        <f>'t1'!A47</f>
        <v>CONTRATTISTI (a)</v>
      </c>
      <c r="B47" s="249" t="str">
        <f>'t1'!B47</f>
        <v>000061</v>
      </c>
      <c r="C47" s="395"/>
      <c r="D47" s="396"/>
      <c r="E47" s="395">
        <v>2</v>
      </c>
      <c r="F47" s="396"/>
      <c r="G47" s="395"/>
      <c r="H47" s="397"/>
      <c r="I47" s="667"/>
      <c r="J47" s="397"/>
      <c r="K47" s="667"/>
      <c r="L47" s="397"/>
      <c r="M47" s="398"/>
      <c r="N47" s="399"/>
      <c r="O47" s="562">
        <f t="shared" si="0"/>
        <v>2</v>
      </c>
      <c r="P47" s="563">
        <f t="shared" si="1"/>
        <v>0</v>
      </c>
    </row>
    <row r="48" spans="1:16" ht="13.5" customHeight="1" thickBot="1">
      <c r="A48" s="168" t="str">
        <f>'t1'!A48</f>
        <v>COLLABORATORE A TEMPO DETERMIN. (b)</v>
      </c>
      <c r="B48" s="249" t="str">
        <f>'t1'!B48</f>
        <v>000096</v>
      </c>
      <c r="C48" s="395"/>
      <c r="D48" s="396"/>
      <c r="E48" s="395"/>
      <c r="F48" s="396"/>
      <c r="G48" s="395"/>
      <c r="H48" s="397"/>
      <c r="I48" s="667"/>
      <c r="J48" s="397"/>
      <c r="K48" s="667"/>
      <c r="L48" s="397"/>
      <c r="M48" s="398"/>
      <c r="N48" s="399"/>
      <c r="O48" s="672">
        <f t="shared" si="0"/>
        <v>0</v>
      </c>
      <c r="P48" s="675">
        <f t="shared" si="1"/>
        <v>0</v>
      </c>
    </row>
    <row r="49" spans="1:16" ht="12" customHeight="1" thickBot="1" thickTop="1">
      <c r="A49" s="45" t="s">
        <v>78</v>
      </c>
      <c r="B49" s="46"/>
      <c r="C49" s="564">
        <f aca="true" t="shared" si="2" ref="C49:P49">SUM(C6:C48)</f>
        <v>59</v>
      </c>
      <c r="D49" s="565">
        <f t="shared" si="2"/>
        <v>11</v>
      </c>
      <c r="E49" s="564">
        <f t="shared" si="2"/>
        <v>100</v>
      </c>
      <c r="F49" s="565">
        <f t="shared" si="2"/>
        <v>39</v>
      </c>
      <c r="G49" s="564">
        <f t="shared" si="2"/>
        <v>1</v>
      </c>
      <c r="H49" s="565">
        <f t="shared" si="2"/>
        <v>0</v>
      </c>
      <c r="I49" s="668">
        <f>SUM(I6:I48)</f>
        <v>38</v>
      </c>
      <c r="J49" s="565">
        <f>SUM(J6:J48)</f>
        <v>17</v>
      </c>
      <c r="K49" s="668">
        <f>SUM(K6:K48)</f>
        <v>2</v>
      </c>
      <c r="L49" s="565">
        <f>SUM(L6:L48)</f>
        <v>2</v>
      </c>
      <c r="M49" s="669">
        <f t="shared" si="2"/>
        <v>0</v>
      </c>
      <c r="N49" s="565">
        <f t="shared" si="2"/>
        <v>0</v>
      </c>
      <c r="O49" s="564">
        <f t="shared" si="2"/>
        <v>200</v>
      </c>
      <c r="P49" s="565">
        <f t="shared" si="2"/>
        <v>69</v>
      </c>
    </row>
    <row r="50" spans="1:20" ht="18" customHeight="1">
      <c r="A50" s="26" t="s">
        <v>192</v>
      </c>
      <c r="B50" s="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84"/>
      <c r="P50" s="47"/>
      <c r="Q50" s="47"/>
      <c r="R50" s="47"/>
      <c r="S50" s="47"/>
      <c r="T50" s="47"/>
    </row>
    <row r="51" spans="1:2" s="5" customFormat="1" ht="11.25">
      <c r="A51" s="26" t="s">
        <v>448</v>
      </c>
      <c r="B51" s="7"/>
    </row>
  </sheetData>
  <sheetProtection password="EA98" sheet="1" objects="1" scenarios="1" formatColumns="0" selectLockedCells="1"/>
  <mergeCells count="6">
    <mergeCell ref="M3:P3"/>
    <mergeCell ref="A1:N1"/>
    <mergeCell ref="G4:H4"/>
    <mergeCell ref="I4:J4"/>
    <mergeCell ref="M4:N4"/>
    <mergeCell ref="K4:L4"/>
  </mergeCells>
  <printOptions horizontalCentered="1" verticalCentered="1"/>
  <pageMargins left="0" right="0" top="0.1968503937007874" bottom="0.16" header="0.19" footer="0.17"/>
  <pageSetup horizontalDpi="600" verticalDpi="600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7"/>
  <dimension ref="A1:AV51"/>
  <sheetViews>
    <sheetView showGridLines="0" zoomScalePageLayoutView="0" workbookViewId="0" topLeftCell="A1">
      <pane xSplit="2" ySplit="5" topLeftCell="C6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6" sqref="C6"/>
    </sheetView>
  </sheetViews>
  <sheetFormatPr defaultColWidth="9.33203125" defaultRowHeight="17.25" customHeight="1"/>
  <cols>
    <col min="1" max="1" width="35.16015625" style="5" customWidth="1"/>
    <col min="2" max="2" width="12.83203125" style="7" customWidth="1"/>
    <col min="3" max="5" width="7.83203125" style="5" customWidth="1"/>
    <col min="6" max="6" width="19.33203125" style="5" customWidth="1"/>
    <col min="7" max="26" width="7.83203125" style="5" customWidth="1"/>
    <col min="27" max="48" width="8.5" style="5" customWidth="1"/>
    <col min="49" max="16384" width="9.33203125" style="5" customWidth="1"/>
  </cols>
  <sheetData>
    <row r="1" spans="1:48" ht="43.5" customHeight="1">
      <c r="A1" s="1446" t="s">
        <v>440</v>
      </c>
      <c r="B1" s="2"/>
      <c r="C1" s="1392" t="str">
        <f>'t1'!A1</f>
        <v>COMPARTO REGIONI ED AUTONOMIE LOCALI</v>
      </c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Z1" s="370"/>
      <c r="AA1" s="1392" t="str">
        <f>C1</f>
        <v>COMPARTO REGIONI ED AUTONOMIE LOCALI</v>
      </c>
      <c r="AB1" s="1392"/>
      <c r="AC1" s="1392"/>
      <c r="AD1" s="1392"/>
      <c r="AE1" s="1392"/>
      <c r="AF1" s="1392"/>
      <c r="AG1" s="1392"/>
      <c r="AH1" s="1392"/>
      <c r="AI1" s="1392"/>
      <c r="AJ1" s="1392"/>
      <c r="AK1" s="1392"/>
      <c r="AL1" s="1392"/>
      <c r="AM1" s="1392"/>
      <c r="AN1" s="1392"/>
      <c r="AO1" s="1392"/>
      <c r="AP1" s="1392"/>
      <c r="AQ1" s="1392"/>
      <c r="AR1" s="1392"/>
      <c r="AS1" s="1392"/>
      <c r="AV1" s="370"/>
    </row>
    <row r="2" spans="1:48" ht="30" customHeight="1" thickBot="1">
      <c r="A2" s="1447"/>
      <c r="S2" s="1397"/>
      <c r="T2" s="1397"/>
      <c r="U2" s="1397"/>
      <c r="V2" s="1397"/>
      <c r="W2" s="1397"/>
      <c r="X2" s="1397"/>
      <c r="Y2" s="1397"/>
      <c r="Z2" s="1397"/>
      <c r="AO2" s="1397"/>
      <c r="AP2" s="1397"/>
      <c r="AQ2" s="1397"/>
      <c r="AR2" s="1397"/>
      <c r="AS2" s="1397"/>
      <c r="AT2" s="1397"/>
      <c r="AU2" s="1397"/>
      <c r="AV2" s="1397"/>
    </row>
    <row r="3" spans="1:48" ht="12" thickBot="1">
      <c r="A3" s="136"/>
      <c r="B3" s="311" t="s">
        <v>270</v>
      </c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321"/>
      <c r="Y3" s="321"/>
      <c r="Z3" s="139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2"/>
    </row>
    <row r="4" spans="1:48" ht="34.5" thickTop="1">
      <c r="A4" s="27" t="s">
        <v>149</v>
      </c>
      <c r="B4" s="312" t="s">
        <v>115</v>
      </c>
      <c r="C4" s="140" t="s">
        <v>350</v>
      </c>
      <c r="D4" s="141"/>
      <c r="E4" s="142" t="s">
        <v>351</v>
      </c>
      <c r="F4" s="141"/>
      <c r="G4" s="1448" t="s">
        <v>129</v>
      </c>
      <c r="H4" s="1449"/>
      <c r="I4" s="142" t="s">
        <v>130</v>
      </c>
      <c r="J4" s="142"/>
      <c r="K4" s="142" t="s">
        <v>127</v>
      </c>
      <c r="L4" s="142"/>
      <c r="M4" s="142" t="s">
        <v>121</v>
      </c>
      <c r="N4" s="143"/>
      <c r="O4" s="142" t="s">
        <v>352</v>
      </c>
      <c r="P4" s="142"/>
      <c r="Q4" s="142" t="s">
        <v>125</v>
      </c>
      <c r="R4" s="141"/>
      <c r="S4" s="313" t="s">
        <v>120</v>
      </c>
      <c r="T4" s="142"/>
      <c r="U4" s="142" t="s">
        <v>118</v>
      </c>
      <c r="V4" s="145"/>
      <c r="W4" s="142" t="s">
        <v>124</v>
      </c>
      <c r="X4" s="144"/>
      <c r="Y4" s="142" t="s">
        <v>126</v>
      </c>
      <c r="Z4" s="144"/>
      <c r="AA4" s="142" t="s">
        <v>117</v>
      </c>
      <c r="AB4" s="144"/>
      <c r="AC4" s="142" t="s">
        <v>128</v>
      </c>
      <c r="AD4" s="145"/>
      <c r="AE4" s="142" t="s">
        <v>132</v>
      </c>
      <c r="AF4" s="142"/>
      <c r="AG4" s="142" t="s">
        <v>131</v>
      </c>
      <c r="AH4" s="146"/>
      <c r="AI4" s="142" t="s">
        <v>122</v>
      </c>
      <c r="AJ4" s="145"/>
      <c r="AK4" s="142" t="s">
        <v>123</v>
      </c>
      <c r="AL4" s="142"/>
      <c r="AM4" s="142" t="s">
        <v>116</v>
      </c>
      <c r="AN4" s="145"/>
      <c r="AO4" s="142" t="s">
        <v>119</v>
      </c>
      <c r="AP4" s="144"/>
      <c r="AQ4" s="142" t="s">
        <v>353</v>
      </c>
      <c r="AR4" s="144"/>
      <c r="AS4" s="145" t="s">
        <v>354</v>
      </c>
      <c r="AT4" s="140"/>
      <c r="AU4" s="145" t="s">
        <v>78</v>
      </c>
      <c r="AV4" s="146"/>
    </row>
    <row r="5" spans="1:48" s="320" customFormat="1" ht="9" thickBot="1">
      <c r="A5" s="314"/>
      <c r="B5" s="315"/>
      <c r="C5" s="316" t="s">
        <v>76</v>
      </c>
      <c r="D5" s="317" t="s">
        <v>77</v>
      </c>
      <c r="E5" s="316" t="s">
        <v>76</v>
      </c>
      <c r="F5" s="317" t="s">
        <v>77</v>
      </c>
      <c r="G5" s="316" t="s">
        <v>76</v>
      </c>
      <c r="H5" s="317" t="s">
        <v>77</v>
      </c>
      <c r="I5" s="316" t="s">
        <v>76</v>
      </c>
      <c r="J5" s="317" t="s">
        <v>77</v>
      </c>
      <c r="K5" s="316" t="s">
        <v>76</v>
      </c>
      <c r="L5" s="317" t="s">
        <v>77</v>
      </c>
      <c r="M5" s="316" t="s">
        <v>76</v>
      </c>
      <c r="N5" s="318" t="s">
        <v>77</v>
      </c>
      <c r="O5" s="316" t="s">
        <v>76</v>
      </c>
      <c r="P5" s="318" t="s">
        <v>77</v>
      </c>
      <c r="Q5" s="316" t="s">
        <v>76</v>
      </c>
      <c r="R5" s="318" t="s">
        <v>77</v>
      </c>
      <c r="S5" s="316" t="s">
        <v>76</v>
      </c>
      <c r="T5" s="318" t="s">
        <v>77</v>
      </c>
      <c r="U5" s="316" t="s">
        <v>76</v>
      </c>
      <c r="V5" s="318" t="s">
        <v>77</v>
      </c>
      <c r="W5" s="316" t="s">
        <v>76</v>
      </c>
      <c r="X5" s="317" t="s">
        <v>77</v>
      </c>
      <c r="Y5" s="316" t="s">
        <v>76</v>
      </c>
      <c r="Z5" s="317" t="s">
        <v>77</v>
      </c>
      <c r="AA5" s="316" t="s">
        <v>76</v>
      </c>
      <c r="AB5" s="317" t="s">
        <v>77</v>
      </c>
      <c r="AC5" s="316" t="s">
        <v>76</v>
      </c>
      <c r="AD5" s="318" t="s">
        <v>77</v>
      </c>
      <c r="AE5" s="316" t="s">
        <v>76</v>
      </c>
      <c r="AF5" s="318" t="s">
        <v>77</v>
      </c>
      <c r="AG5" s="316" t="s">
        <v>76</v>
      </c>
      <c r="AH5" s="318" t="s">
        <v>77</v>
      </c>
      <c r="AI5" s="316" t="s">
        <v>76</v>
      </c>
      <c r="AJ5" s="318" t="s">
        <v>77</v>
      </c>
      <c r="AK5" s="316" t="s">
        <v>76</v>
      </c>
      <c r="AL5" s="318" t="s">
        <v>77</v>
      </c>
      <c r="AM5" s="316" t="s">
        <v>76</v>
      </c>
      <c r="AN5" s="318" t="s">
        <v>77</v>
      </c>
      <c r="AO5" s="316" t="s">
        <v>76</v>
      </c>
      <c r="AP5" s="317" t="s">
        <v>77</v>
      </c>
      <c r="AQ5" s="316" t="s">
        <v>76</v>
      </c>
      <c r="AR5" s="317" t="s">
        <v>77</v>
      </c>
      <c r="AS5" s="319" t="s">
        <v>76</v>
      </c>
      <c r="AT5" s="317" t="s">
        <v>77</v>
      </c>
      <c r="AU5" s="319" t="s">
        <v>76</v>
      </c>
      <c r="AV5" s="318" t="s">
        <v>77</v>
      </c>
    </row>
    <row r="6" spans="1:48" ht="12.75" customHeight="1" thickTop="1">
      <c r="A6" s="25" t="str">
        <f>'t1'!A6</f>
        <v>SEGRETARIO A</v>
      </c>
      <c r="B6" s="257" t="str">
        <f>'t1'!B6</f>
        <v>0D0102</v>
      </c>
      <c r="C6" s="308"/>
      <c r="D6" s="309"/>
      <c r="E6" s="308"/>
      <c r="F6" s="309"/>
      <c r="G6" s="308"/>
      <c r="H6" s="309"/>
      <c r="I6" s="308"/>
      <c r="J6" s="309"/>
      <c r="K6" s="308"/>
      <c r="L6" s="309"/>
      <c r="M6" s="308"/>
      <c r="N6" s="309"/>
      <c r="O6" s="308"/>
      <c r="P6" s="309"/>
      <c r="Q6" s="308"/>
      <c r="R6" s="309"/>
      <c r="S6" s="308"/>
      <c r="T6" s="309"/>
      <c r="U6" s="308"/>
      <c r="V6" s="309"/>
      <c r="W6" s="308"/>
      <c r="X6" s="309"/>
      <c r="Y6" s="308"/>
      <c r="Z6" s="309"/>
      <c r="AA6" s="308"/>
      <c r="AB6" s="309"/>
      <c r="AC6" s="308"/>
      <c r="AD6" s="309"/>
      <c r="AE6" s="308"/>
      <c r="AF6" s="309"/>
      <c r="AG6" s="308"/>
      <c r="AH6" s="309"/>
      <c r="AI6" s="308"/>
      <c r="AJ6" s="309"/>
      <c r="AK6" s="308"/>
      <c r="AL6" s="309"/>
      <c r="AM6" s="308"/>
      <c r="AN6" s="309"/>
      <c r="AO6" s="308"/>
      <c r="AP6" s="309"/>
      <c r="AQ6" s="308"/>
      <c r="AR6" s="309"/>
      <c r="AS6" s="308"/>
      <c r="AT6" s="309"/>
      <c r="AU6" s="570">
        <f>SUM(S6,U6,W6,Y6,C6,E6,G6,I6,K6,M6,O6,Q6,AA6,AC6,AE6,AG6,AI6,AK6,AM6,AO6,AQ6,AS6)</f>
        <v>0</v>
      </c>
      <c r="AV6" s="571">
        <f>SUM(T6,V6,X6,Z6,D6,F6,H6,J6,L6,N6,P6,R6,AB6,AD6,AF6,AH6,AJ6,AL6,AN6,AP6,AR6,AT6)</f>
        <v>0</v>
      </c>
    </row>
    <row r="7" spans="1:48" ht="12.75" customHeight="1">
      <c r="A7" s="24" t="str">
        <f>'t1'!A7</f>
        <v>SEGRETARIO B</v>
      </c>
      <c r="B7" s="167" t="str">
        <f>'t1'!B7</f>
        <v>0D0103</v>
      </c>
      <c r="C7" s="310"/>
      <c r="D7" s="250"/>
      <c r="E7" s="310"/>
      <c r="F7" s="250"/>
      <c r="G7" s="310"/>
      <c r="H7" s="250"/>
      <c r="I7" s="310"/>
      <c r="J7" s="250"/>
      <c r="K7" s="310"/>
      <c r="L7" s="250"/>
      <c r="M7" s="310"/>
      <c r="N7" s="250"/>
      <c r="O7" s="310"/>
      <c r="P7" s="250"/>
      <c r="Q7" s="310"/>
      <c r="R7" s="250"/>
      <c r="S7" s="310"/>
      <c r="T7" s="250"/>
      <c r="U7" s="310"/>
      <c r="V7" s="250"/>
      <c r="W7" s="310"/>
      <c r="X7" s="250"/>
      <c r="Y7" s="310"/>
      <c r="Z7" s="250"/>
      <c r="AA7" s="310"/>
      <c r="AB7" s="250"/>
      <c r="AC7" s="310"/>
      <c r="AD7" s="250"/>
      <c r="AE7" s="310"/>
      <c r="AF7" s="250"/>
      <c r="AG7" s="310"/>
      <c r="AH7" s="250"/>
      <c r="AI7" s="310"/>
      <c r="AJ7" s="250"/>
      <c r="AK7" s="310"/>
      <c r="AL7" s="250"/>
      <c r="AM7" s="310"/>
      <c r="AN7" s="250"/>
      <c r="AO7" s="310"/>
      <c r="AP7" s="250"/>
      <c r="AQ7" s="310"/>
      <c r="AR7" s="250"/>
      <c r="AS7" s="310"/>
      <c r="AT7" s="250"/>
      <c r="AU7" s="572">
        <f>SUM(C7,E7,G7,I7,K7,M7,O7,Q7,S7,U7,W7,Y7,AA7,AC7,AE7,AG7,AI7,AK7,AM7,AO7,AQ7,AS7)</f>
        <v>0</v>
      </c>
      <c r="AV7" s="573">
        <f aca="true" t="shared" si="0" ref="AV7:AV40">SUM(T7,V7,X7,Z7,D7,F7,H7,J7,L7,N7,P7,R7,AB7,AD7,AF7,AH7,AJ7,AL7,AN7,AP7,AR7,AT7)</f>
        <v>0</v>
      </c>
    </row>
    <row r="8" spans="1:48" ht="12.75" customHeight="1">
      <c r="A8" s="24" t="str">
        <f>'t1'!A8</f>
        <v>SEGRETARIO C</v>
      </c>
      <c r="B8" s="167" t="str">
        <f>'t1'!B8</f>
        <v>0D0485</v>
      </c>
      <c r="C8" s="310"/>
      <c r="D8" s="250"/>
      <c r="E8" s="310"/>
      <c r="F8" s="250"/>
      <c r="G8" s="310"/>
      <c r="H8" s="250"/>
      <c r="I8" s="310"/>
      <c r="J8" s="250"/>
      <c r="K8" s="310"/>
      <c r="L8" s="250"/>
      <c r="M8" s="310"/>
      <c r="N8" s="250"/>
      <c r="O8" s="310"/>
      <c r="P8" s="250"/>
      <c r="Q8" s="310"/>
      <c r="R8" s="250"/>
      <c r="S8" s="310"/>
      <c r="T8" s="250"/>
      <c r="U8" s="310"/>
      <c r="V8" s="250"/>
      <c r="W8" s="310"/>
      <c r="X8" s="250"/>
      <c r="Y8" s="310"/>
      <c r="Z8" s="250"/>
      <c r="AA8" s="310"/>
      <c r="AB8" s="250"/>
      <c r="AC8" s="310"/>
      <c r="AD8" s="250"/>
      <c r="AE8" s="310"/>
      <c r="AF8" s="250"/>
      <c r="AG8" s="310"/>
      <c r="AH8" s="250"/>
      <c r="AI8" s="310"/>
      <c r="AJ8" s="250"/>
      <c r="AK8" s="310"/>
      <c r="AL8" s="250"/>
      <c r="AM8" s="310"/>
      <c r="AN8" s="250"/>
      <c r="AO8" s="310"/>
      <c r="AP8" s="250"/>
      <c r="AQ8" s="310"/>
      <c r="AR8" s="250"/>
      <c r="AS8" s="310"/>
      <c r="AT8" s="250"/>
      <c r="AU8" s="572">
        <f>SUM(S8,U8,W8,Y8,C8,E8,G8,I8,K8,M8,O8,Q8,AA8,AC8,AE8,AG8,AI8,AK8,AM8,AO8,AQ8,AS8)</f>
        <v>0</v>
      </c>
      <c r="AV8" s="573">
        <f t="shared" si="0"/>
        <v>0</v>
      </c>
    </row>
    <row r="9" spans="1:48" ht="12.75" customHeight="1">
      <c r="A9" s="24" t="str">
        <f>'t1'!A9</f>
        <v>SEGRETARIO GENERALE CCIAA</v>
      </c>
      <c r="B9" s="167" t="str">
        <f>'t1'!B9</f>
        <v>0D0104</v>
      </c>
      <c r="C9" s="310"/>
      <c r="D9" s="250"/>
      <c r="E9" s="310"/>
      <c r="F9" s="250"/>
      <c r="G9" s="310"/>
      <c r="H9" s="250"/>
      <c r="I9" s="310"/>
      <c r="J9" s="250"/>
      <c r="K9" s="310"/>
      <c r="L9" s="250"/>
      <c r="M9" s="310"/>
      <c r="N9" s="250"/>
      <c r="O9" s="310"/>
      <c r="P9" s="250"/>
      <c r="Q9" s="310"/>
      <c r="R9" s="250"/>
      <c r="S9" s="310"/>
      <c r="T9" s="250"/>
      <c r="U9" s="310"/>
      <c r="V9" s="250"/>
      <c r="W9" s="310"/>
      <c r="X9" s="250"/>
      <c r="Y9" s="310"/>
      <c r="Z9" s="250"/>
      <c r="AA9" s="310"/>
      <c r="AB9" s="250"/>
      <c r="AC9" s="310"/>
      <c r="AD9" s="250"/>
      <c r="AE9" s="310"/>
      <c r="AF9" s="250"/>
      <c r="AG9" s="310"/>
      <c r="AH9" s="250"/>
      <c r="AI9" s="310"/>
      <c r="AJ9" s="250"/>
      <c r="AK9" s="310"/>
      <c r="AL9" s="250"/>
      <c r="AM9" s="310"/>
      <c r="AN9" s="250"/>
      <c r="AO9" s="310"/>
      <c r="AP9" s="250"/>
      <c r="AQ9" s="310"/>
      <c r="AR9" s="250"/>
      <c r="AS9" s="310"/>
      <c r="AT9" s="250"/>
      <c r="AU9" s="572">
        <f aca="true" t="shared" si="1" ref="AU9:AU40">SUM(S9,U9,W9,Y9,C9,E9,G9,I9,K9,M9,O9,Q9,AA9,AC9,AE9,AG9,AI9,AK9,AM9,AO9,AQ9,AS9)</f>
        <v>0</v>
      </c>
      <c r="AV9" s="573">
        <f t="shared" si="0"/>
        <v>0</v>
      </c>
    </row>
    <row r="10" spans="1:48" ht="12.75" customHeight="1">
      <c r="A10" s="24" t="str">
        <f>'t1'!A10</f>
        <v>DIRETTORE  GENERALE</v>
      </c>
      <c r="B10" s="167" t="str">
        <f>'t1'!B10</f>
        <v>0D0097</v>
      </c>
      <c r="C10" s="310"/>
      <c r="D10" s="250"/>
      <c r="E10" s="310"/>
      <c r="F10" s="250"/>
      <c r="G10" s="310"/>
      <c r="H10" s="250"/>
      <c r="I10" s="310"/>
      <c r="J10" s="250"/>
      <c r="K10" s="310"/>
      <c r="L10" s="250"/>
      <c r="M10" s="310"/>
      <c r="N10" s="250"/>
      <c r="O10" s="310"/>
      <c r="P10" s="250"/>
      <c r="Q10" s="310"/>
      <c r="R10" s="250"/>
      <c r="S10" s="310"/>
      <c r="T10" s="250"/>
      <c r="U10" s="310"/>
      <c r="V10" s="250"/>
      <c r="W10" s="310"/>
      <c r="X10" s="250"/>
      <c r="Y10" s="310"/>
      <c r="Z10" s="250"/>
      <c r="AA10" s="310"/>
      <c r="AB10" s="250"/>
      <c r="AC10" s="310"/>
      <c r="AD10" s="250"/>
      <c r="AE10" s="310"/>
      <c r="AF10" s="250"/>
      <c r="AG10" s="310"/>
      <c r="AH10" s="250"/>
      <c r="AI10" s="310"/>
      <c r="AJ10" s="250"/>
      <c r="AK10" s="310"/>
      <c r="AL10" s="250"/>
      <c r="AM10" s="310"/>
      <c r="AN10" s="250"/>
      <c r="AO10" s="310"/>
      <c r="AP10" s="250"/>
      <c r="AQ10" s="310"/>
      <c r="AR10" s="250"/>
      <c r="AS10" s="310"/>
      <c r="AT10" s="250"/>
      <c r="AU10" s="572">
        <f t="shared" si="1"/>
        <v>0</v>
      </c>
      <c r="AV10" s="573">
        <f t="shared" si="0"/>
        <v>0</v>
      </c>
    </row>
    <row r="11" spans="1:48" ht="12.75" customHeight="1">
      <c r="A11" s="24" t="str">
        <f>'t1'!A11</f>
        <v>DIRIGENTE FUORI D.O.</v>
      </c>
      <c r="B11" s="167" t="str">
        <f>'t1'!B11</f>
        <v>0D0098</v>
      </c>
      <c r="C11" s="310"/>
      <c r="D11" s="250"/>
      <c r="E11" s="310"/>
      <c r="F11" s="250"/>
      <c r="G11" s="310"/>
      <c r="H11" s="250"/>
      <c r="I11" s="310"/>
      <c r="J11" s="250"/>
      <c r="K11" s="310"/>
      <c r="L11" s="250"/>
      <c r="M11" s="310"/>
      <c r="N11" s="250"/>
      <c r="O11" s="310"/>
      <c r="P11" s="250"/>
      <c r="Q11" s="310"/>
      <c r="R11" s="250"/>
      <c r="S11" s="310"/>
      <c r="T11" s="250"/>
      <c r="U11" s="310"/>
      <c r="V11" s="250"/>
      <c r="W11" s="310"/>
      <c r="X11" s="250"/>
      <c r="Y11" s="310"/>
      <c r="Z11" s="250"/>
      <c r="AA11" s="310"/>
      <c r="AB11" s="250"/>
      <c r="AC11" s="310"/>
      <c r="AD11" s="250"/>
      <c r="AE11" s="310"/>
      <c r="AF11" s="250"/>
      <c r="AG11" s="310"/>
      <c r="AH11" s="250"/>
      <c r="AI11" s="310"/>
      <c r="AJ11" s="250"/>
      <c r="AK11" s="310"/>
      <c r="AL11" s="250"/>
      <c r="AM11" s="310"/>
      <c r="AN11" s="250"/>
      <c r="AO11" s="310"/>
      <c r="AP11" s="250"/>
      <c r="AQ11" s="310"/>
      <c r="AR11" s="250"/>
      <c r="AS11" s="310"/>
      <c r="AT11" s="250"/>
      <c r="AU11" s="572">
        <f t="shared" si="1"/>
        <v>0</v>
      </c>
      <c r="AV11" s="573">
        <f t="shared" si="0"/>
        <v>0</v>
      </c>
    </row>
    <row r="12" spans="1:48" ht="12.75" customHeight="1">
      <c r="A12" s="24" t="str">
        <f>'t1'!A12</f>
        <v>ALTE SPECIALIZZ. FUORI D.O.</v>
      </c>
      <c r="B12" s="167" t="str">
        <f>'t1'!B12</f>
        <v>0D0095</v>
      </c>
      <c r="C12" s="310"/>
      <c r="D12" s="250"/>
      <c r="E12" s="310"/>
      <c r="F12" s="250"/>
      <c r="G12" s="310"/>
      <c r="H12" s="250"/>
      <c r="I12" s="310"/>
      <c r="J12" s="250"/>
      <c r="K12" s="310"/>
      <c r="L12" s="250"/>
      <c r="M12" s="310"/>
      <c r="N12" s="250"/>
      <c r="O12" s="310"/>
      <c r="P12" s="250"/>
      <c r="Q12" s="310"/>
      <c r="R12" s="250"/>
      <c r="S12" s="310"/>
      <c r="T12" s="250"/>
      <c r="U12" s="310"/>
      <c r="V12" s="250"/>
      <c r="W12" s="310"/>
      <c r="X12" s="250"/>
      <c r="Y12" s="310"/>
      <c r="Z12" s="250"/>
      <c r="AA12" s="310"/>
      <c r="AB12" s="250"/>
      <c r="AC12" s="310"/>
      <c r="AD12" s="250"/>
      <c r="AE12" s="310"/>
      <c r="AF12" s="250"/>
      <c r="AG12" s="310"/>
      <c r="AH12" s="250"/>
      <c r="AI12" s="310"/>
      <c r="AJ12" s="250"/>
      <c r="AK12" s="310"/>
      <c r="AL12" s="250"/>
      <c r="AM12" s="310"/>
      <c r="AN12" s="250"/>
      <c r="AO12" s="310"/>
      <c r="AP12" s="250"/>
      <c r="AQ12" s="310"/>
      <c r="AR12" s="250"/>
      <c r="AS12" s="310"/>
      <c r="AT12" s="250"/>
      <c r="AU12" s="572">
        <f t="shared" si="1"/>
        <v>0</v>
      </c>
      <c r="AV12" s="573">
        <f t="shared" si="0"/>
        <v>0</v>
      </c>
    </row>
    <row r="13" spans="1:48" ht="12.75" customHeight="1">
      <c r="A13" s="24" t="str">
        <f>'t1'!A13</f>
        <v>QUALIFICA DIRIGENZIALE TEMPO INDET.</v>
      </c>
      <c r="B13" s="167" t="str">
        <f>'t1'!B13</f>
        <v>0D0100</v>
      </c>
      <c r="C13" s="310"/>
      <c r="D13" s="250"/>
      <c r="E13" s="310"/>
      <c r="F13" s="250"/>
      <c r="G13" s="310"/>
      <c r="H13" s="250"/>
      <c r="I13" s="310"/>
      <c r="J13" s="250"/>
      <c r="K13" s="310"/>
      <c r="L13" s="250"/>
      <c r="M13" s="310"/>
      <c r="N13" s="250"/>
      <c r="O13" s="310"/>
      <c r="P13" s="250"/>
      <c r="Q13" s="310"/>
      <c r="R13" s="250"/>
      <c r="S13" s="310"/>
      <c r="T13" s="250"/>
      <c r="U13" s="310"/>
      <c r="V13" s="250"/>
      <c r="W13" s="310"/>
      <c r="X13" s="250"/>
      <c r="Y13" s="310"/>
      <c r="Z13" s="250"/>
      <c r="AA13" s="310"/>
      <c r="AB13" s="250"/>
      <c r="AC13" s="310"/>
      <c r="AD13" s="250"/>
      <c r="AE13" s="310"/>
      <c r="AF13" s="250"/>
      <c r="AG13" s="310"/>
      <c r="AH13" s="250"/>
      <c r="AI13" s="310"/>
      <c r="AJ13" s="250"/>
      <c r="AK13" s="310"/>
      <c r="AL13" s="250"/>
      <c r="AM13" s="310"/>
      <c r="AN13" s="250"/>
      <c r="AO13" s="310"/>
      <c r="AP13" s="250"/>
      <c r="AQ13" s="310"/>
      <c r="AR13" s="250"/>
      <c r="AS13" s="310"/>
      <c r="AT13" s="250"/>
      <c r="AU13" s="572">
        <f t="shared" si="1"/>
        <v>0</v>
      </c>
      <c r="AV13" s="573">
        <f t="shared" si="0"/>
        <v>0</v>
      </c>
    </row>
    <row r="14" spans="1:48" ht="12.75" customHeight="1">
      <c r="A14" s="24" t="str">
        <f>'t1'!A14</f>
        <v>QUALIFICA DIRIGENZIALE TEMPO DETER.</v>
      </c>
      <c r="B14" s="167" t="str">
        <f>'t1'!B14</f>
        <v>0D0099</v>
      </c>
      <c r="C14" s="310"/>
      <c r="D14" s="250"/>
      <c r="E14" s="310"/>
      <c r="F14" s="250"/>
      <c r="G14" s="310"/>
      <c r="H14" s="250"/>
      <c r="I14" s="310"/>
      <c r="J14" s="250"/>
      <c r="K14" s="310"/>
      <c r="L14" s="250"/>
      <c r="M14" s="310"/>
      <c r="N14" s="250"/>
      <c r="O14" s="310"/>
      <c r="P14" s="250"/>
      <c r="Q14" s="310"/>
      <c r="R14" s="250"/>
      <c r="S14" s="310"/>
      <c r="T14" s="250"/>
      <c r="U14" s="310"/>
      <c r="V14" s="250"/>
      <c r="W14" s="310"/>
      <c r="X14" s="250"/>
      <c r="Y14" s="310"/>
      <c r="Z14" s="250"/>
      <c r="AA14" s="310"/>
      <c r="AB14" s="250"/>
      <c r="AC14" s="310"/>
      <c r="AD14" s="250"/>
      <c r="AE14" s="310"/>
      <c r="AF14" s="250"/>
      <c r="AG14" s="310"/>
      <c r="AH14" s="250"/>
      <c r="AI14" s="310"/>
      <c r="AJ14" s="250"/>
      <c r="AK14" s="310"/>
      <c r="AL14" s="250"/>
      <c r="AM14" s="310"/>
      <c r="AN14" s="250"/>
      <c r="AO14" s="310"/>
      <c r="AP14" s="250"/>
      <c r="AQ14" s="310"/>
      <c r="AR14" s="250"/>
      <c r="AS14" s="310"/>
      <c r="AT14" s="250"/>
      <c r="AU14" s="572">
        <f t="shared" si="1"/>
        <v>0</v>
      </c>
      <c r="AV14" s="573">
        <f t="shared" si="0"/>
        <v>0</v>
      </c>
    </row>
    <row r="15" spans="1:48" ht="12.75" customHeight="1">
      <c r="A15" s="24" t="str">
        <f>'t1'!A15</f>
        <v>POSIZ. ECON. D6 - PROFILI ACCESSO D3</v>
      </c>
      <c r="B15" s="167" t="str">
        <f>'t1'!B15</f>
        <v>0D6A00</v>
      </c>
      <c r="C15" s="310"/>
      <c r="D15" s="250"/>
      <c r="E15" s="310"/>
      <c r="F15" s="250"/>
      <c r="G15" s="310"/>
      <c r="H15" s="250"/>
      <c r="I15" s="310"/>
      <c r="J15" s="250"/>
      <c r="K15" s="310"/>
      <c r="L15" s="250"/>
      <c r="M15" s="310"/>
      <c r="N15" s="250"/>
      <c r="O15" s="310"/>
      <c r="P15" s="250"/>
      <c r="Q15" s="310"/>
      <c r="R15" s="250"/>
      <c r="S15" s="310"/>
      <c r="T15" s="250"/>
      <c r="U15" s="310"/>
      <c r="V15" s="250"/>
      <c r="W15" s="310"/>
      <c r="X15" s="250"/>
      <c r="Y15" s="310"/>
      <c r="Z15" s="250"/>
      <c r="AA15" s="310"/>
      <c r="AB15" s="250"/>
      <c r="AC15" s="310"/>
      <c r="AD15" s="250"/>
      <c r="AE15" s="310"/>
      <c r="AF15" s="250"/>
      <c r="AG15" s="310"/>
      <c r="AH15" s="250"/>
      <c r="AI15" s="310"/>
      <c r="AJ15" s="250"/>
      <c r="AK15" s="310"/>
      <c r="AL15" s="250"/>
      <c r="AM15" s="310"/>
      <c r="AN15" s="250"/>
      <c r="AO15" s="310"/>
      <c r="AP15" s="250"/>
      <c r="AQ15" s="310"/>
      <c r="AR15" s="250"/>
      <c r="AS15" s="310"/>
      <c r="AT15" s="250"/>
      <c r="AU15" s="572">
        <f t="shared" si="1"/>
        <v>0</v>
      </c>
      <c r="AV15" s="573">
        <f t="shared" si="0"/>
        <v>0</v>
      </c>
    </row>
    <row r="16" spans="1:48" ht="12.75" customHeight="1">
      <c r="A16" s="24" t="str">
        <f>'t1'!A16</f>
        <v>POSIZ. ECON. D6 - PROFILO ACCESSO D1</v>
      </c>
      <c r="B16" s="167" t="str">
        <f>'t1'!B16</f>
        <v>0D6000</v>
      </c>
      <c r="C16" s="310"/>
      <c r="D16" s="250"/>
      <c r="E16" s="310"/>
      <c r="F16" s="250"/>
      <c r="G16" s="310"/>
      <c r="H16" s="250"/>
      <c r="I16" s="310"/>
      <c r="J16" s="250"/>
      <c r="K16" s="310"/>
      <c r="L16" s="250"/>
      <c r="M16" s="310"/>
      <c r="N16" s="250"/>
      <c r="O16" s="310"/>
      <c r="P16" s="250"/>
      <c r="Q16" s="310"/>
      <c r="R16" s="250"/>
      <c r="S16" s="310"/>
      <c r="T16" s="250"/>
      <c r="U16" s="310"/>
      <c r="V16" s="250"/>
      <c r="W16" s="310"/>
      <c r="X16" s="250"/>
      <c r="Y16" s="310"/>
      <c r="Z16" s="250"/>
      <c r="AA16" s="310"/>
      <c r="AB16" s="250"/>
      <c r="AC16" s="310"/>
      <c r="AD16" s="250"/>
      <c r="AE16" s="310"/>
      <c r="AF16" s="250"/>
      <c r="AG16" s="310"/>
      <c r="AH16" s="250"/>
      <c r="AI16" s="310"/>
      <c r="AJ16" s="250"/>
      <c r="AK16" s="310"/>
      <c r="AL16" s="250"/>
      <c r="AM16" s="310"/>
      <c r="AN16" s="250"/>
      <c r="AO16" s="310"/>
      <c r="AP16" s="250"/>
      <c r="AQ16" s="310"/>
      <c r="AR16" s="250"/>
      <c r="AS16" s="310"/>
      <c r="AT16" s="250"/>
      <c r="AU16" s="572">
        <f t="shared" si="1"/>
        <v>0</v>
      </c>
      <c r="AV16" s="573">
        <f t="shared" si="0"/>
        <v>0</v>
      </c>
    </row>
    <row r="17" spans="1:48" ht="12.75" customHeight="1">
      <c r="A17" s="24" t="str">
        <f>'t1'!A17</f>
        <v>POSIZ.ECON. D5 PROFILI ACCESSO D3</v>
      </c>
      <c r="B17" s="167" t="str">
        <f>'t1'!B17</f>
        <v>052486</v>
      </c>
      <c r="C17" s="310"/>
      <c r="D17" s="250"/>
      <c r="E17" s="310"/>
      <c r="F17" s="250"/>
      <c r="G17" s="310"/>
      <c r="H17" s="250"/>
      <c r="I17" s="310"/>
      <c r="J17" s="250"/>
      <c r="K17" s="310"/>
      <c r="L17" s="250"/>
      <c r="M17" s="310"/>
      <c r="N17" s="250"/>
      <c r="O17" s="310"/>
      <c r="P17" s="250"/>
      <c r="Q17" s="310"/>
      <c r="R17" s="250"/>
      <c r="S17" s="310"/>
      <c r="T17" s="250"/>
      <c r="U17" s="310"/>
      <c r="V17" s="250"/>
      <c r="W17" s="310"/>
      <c r="X17" s="250"/>
      <c r="Y17" s="310"/>
      <c r="Z17" s="250"/>
      <c r="AA17" s="310"/>
      <c r="AB17" s="250"/>
      <c r="AC17" s="310"/>
      <c r="AD17" s="250"/>
      <c r="AE17" s="310"/>
      <c r="AF17" s="250"/>
      <c r="AG17" s="310"/>
      <c r="AH17" s="250"/>
      <c r="AI17" s="310"/>
      <c r="AJ17" s="250"/>
      <c r="AK17" s="310"/>
      <c r="AL17" s="250"/>
      <c r="AM17" s="310"/>
      <c r="AN17" s="250"/>
      <c r="AO17" s="310"/>
      <c r="AP17" s="250"/>
      <c r="AQ17" s="310"/>
      <c r="AR17" s="250"/>
      <c r="AS17" s="310"/>
      <c r="AT17" s="250"/>
      <c r="AU17" s="572">
        <f t="shared" si="1"/>
        <v>0</v>
      </c>
      <c r="AV17" s="573">
        <f t="shared" si="0"/>
        <v>0</v>
      </c>
    </row>
    <row r="18" spans="1:48" ht="12.75" customHeight="1">
      <c r="A18" s="24" t="str">
        <f>'t1'!A18</f>
        <v>POSIZ.ECON. D5 PROFILI ACCESSO D1</v>
      </c>
      <c r="B18" s="167" t="str">
        <f>'t1'!B18</f>
        <v>052487</v>
      </c>
      <c r="C18" s="310"/>
      <c r="D18" s="250"/>
      <c r="E18" s="310"/>
      <c r="F18" s="250"/>
      <c r="G18" s="310"/>
      <c r="H18" s="250"/>
      <c r="I18" s="310"/>
      <c r="J18" s="250"/>
      <c r="K18" s="310"/>
      <c r="L18" s="250"/>
      <c r="M18" s="310"/>
      <c r="N18" s="250"/>
      <c r="O18" s="310"/>
      <c r="P18" s="250"/>
      <c r="Q18" s="310"/>
      <c r="R18" s="250"/>
      <c r="S18" s="310"/>
      <c r="T18" s="250"/>
      <c r="U18" s="310"/>
      <c r="V18" s="250"/>
      <c r="W18" s="310"/>
      <c r="X18" s="250"/>
      <c r="Y18" s="310"/>
      <c r="Z18" s="250"/>
      <c r="AA18" s="310"/>
      <c r="AB18" s="250"/>
      <c r="AC18" s="310"/>
      <c r="AD18" s="250"/>
      <c r="AE18" s="310"/>
      <c r="AF18" s="250"/>
      <c r="AG18" s="310"/>
      <c r="AH18" s="250"/>
      <c r="AI18" s="310"/>
      <c r="AJ18" s="250"/>
      <c r="AK18" s="310"/>
      <c r="AL18" s="250"/>
      <c r="AM18" s="310"/>
      <c r="AN18" s="250"/>
      <c r="AO18" s="310"/>
      <c r="AP18" s="250"/>
      <c r="AQ18" s="310"/>
      <c r="AR18" s="250"/>
      <c r="AS18" s="310"/>
      <c r="AT18" s="250"/>
      <c r="AU18" s="572">
        <f t="shared" si="1"/>
        <v>0</v>
      </c>
      <c r="AV18" s="573">
        <f t="shared" si="0"/>
        <v>0</v>
      </c>
    </row>
    <row r="19" spans="1:48" ht="12.75" customHeight="1">
      <c r="A19" s="24" t="str">
        <f>'t1'!A19</f>
        <v>POSIZ.ECON. D4 PROFILI ACCESSO D3</v>
      </c>
      <c r="B19" s="167" t="str">
        <f>'t1'!B19</f>
        <v>051488</v>
      </c>
      <c r="C19" s="310"/>
      <c r="D19" s="250"/>
      <c r="E19" s="310"/>
      <c r="F19" s="250"/>
      <c r="G19" s="310"/>
      <c r="H19" s="250"/>
      <c r="I19" s="310"/>
      <c r="J19" s="250"/>
      <c r="K19" s="310"/>
      <c r="L19" s="250"/>
      <c r="M19" s="310"/>
      <c r="N19" s="250"/>
      <c r="O19" s="310"/>
      <c r="P19" s="250"/>
      <c r="Q19" s="310"/>
      <c r="R19" s="250"/>
      <c r="S19" s="310"/>
      <c r="T19" s="250"/>
      <c r="U19" s="310"/>
      <c r="V19" s="250"/>
      <c r="W19" s="310"/>
      <c r="X19" s="250"/>
      <c r="Y19" s="310"/>
      <c r="Z19" s="250"/>
      <c r="AA19" s="310"/>
      <c r="AB19" s="250"/>
      <c r="AC19" s="310"/>
      <c r="AD19" s="250"/>
      <c r="AE19" s="310"/>
      <c r="AF19" s="250"/>
      <c r="AG19" s="310"/>
      <c r="AH19" s="250"/>
      <c r="AI19" s="310"/>
      <c r="AJ19" s="250"/>
      <c r="AK19" s="310"/>
      <c r="AL19" s="250"/>
      <c r="AM19" s="310"/>
      <c r="AN19" s="250"/>
      <c r="AO19" s="310"/>
      <c r="AP19" s="250"/>
      <c r="AQ19" s="310"/>
      <c r="AR19" s="250"/>
      <c r="AS19" s="310"/>
      <c r="AT19" s="250"/>
      <c r="AU19" s="572">
        <f t="shared" si="1"/>
        <v>0</v>
      </c>
      <c r="AV19" s="573">
        <f t="shared" si="0"/>
        <v>0</v>
      </c>
    </row>
    <row r="20" spans="1:48" ht="12.75" customHeight="1">
      <c r="A20" s="24" t="str">
        <f>'t1'!A20</f>
        <v>POSIZ.ECON. D4 PROFILI ACCESSO D1</v>
      </c>
      <c r="B20" s="167" t="str">
        <f>'t1'!B20</f>
        <v>051489</v>
      </c>
      <c r="C20" s="566"/>
      <c r="D20" s="567"/>
      <c r="E20" s="566"/>
      <c r="F20" s="567"/>
      <c r="G20" s="566"/>
      <c r="H20" s="567"/>
      <c r="I20" s="566"/>
      <c r="J20" s="567"/>
      <c r="K20" s="566"/>
      <c r="L20" s="567"/>
      <c r="M20" s="566"/>
      <c r="N20" s="567"/>
      <c r="O20" s="566"/>
      <c r="P20" s="567"/>
      <c r="Q20" s="566"/>
      <c r="R20" s="567"/>
      <c r="S20" s="566"/>
      <c r="T20" s="567"/>
      <c r="U20" s="566"/>
      <c r="V20" s="250"/>
      <c r="W20" s="310"/>
      <c r="X20" s="250"/>
      <c r="Y20" s="310"/>
      <c r="Z20" s="250"/>
      <c r="AA20" s="310"/>
      <c r="AB20" s="250"/>
      <c r="AC20" s="310"/>
      <c r="AD20" s="250"/>
      <c r="AE20" s="310"/>
      <c r="AF20" s="250"/>
      <c r="AG20" s="310"/>
      <c r="AH20" s="250"/>
      <c r="AI20" s="310"/>
      <c r="AJ20" s="250"/>
      <c r="AK20" s="310"/>
      <c r="AL20" s="250"/>
      <c r="AM20" s="310"/>
      <c r="AN20" s="250"/>
      <c r="AO20" s="310"/>
      <c r="AP20" s="250"/>
      <c r="AQ20" s="310"/>
      <c r="AR20" s="250"/>
      <c r="AS20" s="310"/>
      <c r="AT20" s="250"/>
      <c r="AU20" s="572">
        <f t="shared" si="1"/>
        <v>0</v>
      </c>
      <c r="AV20" s="573">
        <f t="shared" si="0"/>
        <v>0</v>
      </c>
    </row>
    <row r="21" spans="1:48" ht="12.75" customHeight="1">
      <c r="A21" s="24" t="str">
        <f>'t1'!A21</f>
        <v>POSIZIONE ECONOMICA DI ACCESSO D3</v>
      </c>
      <c r="B21" s="167" t="str">
        <f>'t1'!B21</f>
        <v>058000</v>
      </c>
      <c r="C21" s="568"/>
      <c r="D21" s="569"/>
      <c r="E21" s="568"/>
      <c r="F21" s="569"/>
      <c r="G21" s="568"/>
      <c r="H21" s="569"/>
      <c r="I21" s="568"/>
      <c r="J21" s="569"/>
      <c r="K21" s="568"/>
      <c r="L21" s="569"/>
      <c r="M21" s="568"/>
      <c r="N21" s="569"/>
      <c r="O21" s="568"/>
      <c r="P21" s="569"/>
      <c r="Q21" s="568"/>
      <c r="R21" s="569"/>
      <c r="S21" s="568"/>
      <c r="T21" s="569"/>
      <c r="U21" s="568"/>
      <c r="V21" s="250"/>
      <c r="W21" s="310"/>
      <c r="X21" s="250"/>
      <c r="Y21" s="310"/>
      <c r="Z21" s="250"/>
      <c r="AA21" s="310"/>
      <c r="AB21" s="250"/>
      <c r="AC21" s="310"/>
      <c r="AD21" s="250"/>
      <c r="AE21" s="310"/>
      <c r="AF21" s="250"/>
      <c r="AG21" s="310"/>
      <c r="AH21" s="250"/>
      <c r="AI21" s="310"/>
      <c r="AJ21" s="250"/>
      <c r="AK21" s="310"/>
      <c r="AL21" s="250"/>
      <c r="AM21" s="310"/>
      <c r="AN21" s="250"/>
      <c r="AO21" s="310"/>
      <c r="AP21" s="250"/>
      <c r="AQ21" s="310"/>
      <c r="AR21" s="250"/>
      <c r="AS21" s="310"/>
      <c r="AT21" s="250"/>
      <c r="AU21" s="572">
        <f t="shared" si="1"/>
        <v>0</v>
      </c>
      <c r="AV21" s="573">
        <f t="shared" si="0"/>
        <v>0</v>
      </c>
    </row>
    <row r="22" spans="1:48" ht="12.75" customHeight="1">
      <c r="A22" s="24" t="str">
        <f>'t1'!A22</f>
        <v>POSIZIONE ECONOMICA D3</v>
      </c>
      <c r="B22" s="167" t="str">
        <f>'t1'!B22</f>
        <v>050000</v>
      </c>
      <c r="C22" s="310"/>
      <c r="D22" s="250"/>
      <c r="E22" s="310"/>
      <c r="F22" s="250"/>
      <c r="G22" s="310"/>
      <c r="H22" s="250"/>
      <c r="I22" s="310"/>
      <c r="J22" s="250"/>
      <c r="K22" s="310"/>
      <c r="L22" s="250"/>
      <c r="M22" s="310"/>
      <c r="N22" s="250"/>
      <c r="O22" s="310"/>
      <c r="P22" s="250"/>
      <c r="Q22" s="310"/>
      <c r="R22" s="250"/>
      <c r="S22" s="310"/>
      <c r="T22" s="250"/>
      <c r="U22" s="310"/>
      <c r="V22" s="250"/>
      <c r="W22" s="310"/>
      <c r="X22" s="250"/>
      <c r="Y22" s="310"/>
      <c r="Z22" s="250"/>
      <c r="AA22" s="310"/>
      <c r="AB22" s="250"/>
      <c r="AC22" s="310"/>
      <c r="AD22" s="250"/>
      <c r="AE22" s="310"/>
      <c r="AF22" s="250"/>
      <c r="AG22" s="310"/>
      <c r="AH22" s="250"/>
      <c r="AI22" s="310"/>
      <c r="AJ22" s="250"/>
      <c r="AK22" s="310"/>
      <c r="AL22" s="250"/>
      <c r="AM22" s="310"/>
      <c r="AN22" s="250"/>
      <c r="AO22" s="310"/>
      <c r="AP22" s="250"/>
      <c r="AQ22" s="310"/>
      <c r="AR22" s="250"/>
      <c r="AS22" s="310"/>
      <c r="AT22" s="250"/>
      <c r="AU22" s="572">
        <f t="shared" si="1"/>
        <v>0</v>
      </c>
      <c r="AV22" s="573">
        <f t="shared" si="0"/>
        <v>0</v>
      </c>
    </row>
    <row r="23" spans="1:48" ht="12.75" customHeight="1">
      <c r="A23" s="24" t="str">
        <f>'t1'!A23</f>
        <v>POSIZIONE ECONOMICA D2</v>
      </c>
      <c r="B23" s="167" t="str">
        <f>'t1'!B23</f>
        <v>049000</v>
      </c>
      <c r="C23" s="310"/>
      <c r="D23" s="250"/>
      <c r="E23" s="310"/>
      <c r="F23" s="250"/>
      <c r="G23" s="310"/>
      <c r="H23" s="250"/>
      <c r="I23" s="310"/>
      <c r="J23" s="250"/>
      <c r="K23" s="310"/>
      <c r="L23" s="250"/>
      <c r="M23" s="310"/>
      <c r="N23" s="250"/>
      <c r="O23" s="310"/>
      <c r="P23" s="250"/>
      <c r="Q23" s="310"/>
      <c r="R23" s="250"/>
      <c r="S23" s="310"/>
      <c r="T23" s="250"/>
      <c r="U23" s="310"/>
      <c r="V23" s="250"/>
      <c r="W23" s="310"/>
      <c r="X23" s="250"/>
      <c r="Y23" s="310"/>
      <c r="Z23" s="250"/>
      <c r="AA23" s="310"/>
      <c r="AB23" s="250"/>
      <c r="AC23" s="310"/>
      <c r="AD23" s="250"/>
      <c r="AE23" s="310"/>
      <c r="AF23" s="250"/>
      <c r="AG23" s="310"/>
      <c r="AH23" s="250"/>
      <c r="AI23" s="310"/>
      <c r="AJ23" s="250"/>
      <c r="AK23" s="310"/>
      <c r="AL23" s="250"/>
      <c r="AM23" s="310"/>
      <c r="AN23" s="250"/>
      <c r="AO23" s="310"/>
      <c r="AP23" s="250"/>
      <c r="AQ23" s="310"/>
      <c r="AR23" s="250"/>
      <c r="AS23" s="310"/>
      <c r="AT23" s="250"/>
      <c r="AU23" s="572">
        <f t="shared" si="1"/>
        <v>0</v>
      </c>
      <c r="AV23" s="573">
        <f t="shared" si="0"/>
        <v>0</v>
      </c>
    </row>
    <row r="24" spans="1:48" ht="12.75" customHeight="1">
      <c r="A24" s="24" t="str">
        <f>'t1'!A24</f>
        <v>POSIZIONE ECONOMICA DI ACCESSO D1</v>
      </c>
      <c r="B24" s="167" t="str">
        <f>'t1'!B24</f>
        <v>057000</v>
      </c>
      <c r="C24" s="310"/>
      <c r="D24" s="250"/>
      <c r="E24" s="310"/>
      <c r="F24" s="250"/>
      <c r="G24" s="310"/>
      <c r="H24" s="250"/>
      <c r="I24" s="310"/>
      <c r="J24" s="250"/>
      <c r="K24" s="310"/>
      <c r="L24" s="250"/>
      <c r="M24" s="310"/>
      <c r="N24" s="250"/>
      <c r="O24" s="310"/>
      <c r="P24" s="250"/>
      <c r="Q24" s="310"/>
      <c r="R24" s="250"/>
      <c r="S24" s="310"/>
      <c r="T24" s="250"/>
      <c r="U24" s="310"/>
      <c r="V24" s="250"/>
      <c r="W24" s="310"/>
      <c r="X24" s="250"/>
      <c r="Y24" s="310"/>
      <c r="Z24" s="250"/>
      <c r="AA24" s="310"/>
      <c r="AB24" s="250"/>
      <c r="AC24" s="310"/>
      <c r="AD24" s="250"/>
      <c r="AE24" s="310"/>
      <c r="AF24" s="250"/>
      <c r="AG24" s="310"/>
      <c r="AH24" s="250"/>
      <c r="AI24" s="310"/>
      <c r="AJ24" s="250"/>
      <c r="AK24" s="310"/>
      <c r="AL24" s="250"/>
      <c r="AM24" s="310"/>
      <c r="AN24" s="250"/>
      <c r="AO24" s="310"/>
      <c r="AP24" s="250"/>
      <c r="AQ24" s="310"/>
      <c r="AR24" s="250"/>
      <c r="AS24" s="310"/>
      <c r="AT24" s="250"/>
      <c r="AU24" s="572">
        <f t="shared" si="1"/>
        <v>0</v>
      </c>
      <c r="AV24" s="573">
        <f t="shared" si="0"/>
        <v>0</v>
      </c>
    </row>
    <row r="25" spans="1:48" ht="12.75" customHeight="1">
      <c r="A25" s="24" t="str">
        <f>'t1'!A25</f>
        <v>POSIZIONE ECONOMICA C5</v>
      </c>
      <c r="B25" s="167" t="str">
        <f>'t1'!B25</f>
        <v>046000</v>
      </c>
      <c r="C25" s="310"/>
      <c r="D25" s="250"/>
      <c r="E25" s="310"/>
      <c r="F25" s="250"/>
      <c r="G25" s="310"/>
      <c r="H25" s="250"/>
      <c r="I25" s="310"/>
      <c r="J25" s="250"/>
      <c r="K25" s="310"/>
      <c r="L25" s="250"/>
      <c r="M25" s="310"/>
      <c r="N25" s="250"/>
      <c r="O25" s="310"/>
      <c r="P25" s="250"/>
      <c r="Q25" s="310"/>
      <c r="R25" s="250"/>
      <c r="S25" s="310"/>
      <c r="T25" s="250"/>
      <c r="U25" s="310"/>
      <c r="V25" s="250"/>
      <c r="W25" s="310"/>
      <c r="X25" s="250"/>
      <c r="Y25" s="310"/>
      <c r="Z25" s="250"/>
      <c r="AA25" s="310"/>
      <c r="AB25" s="250"/>
      <c r="AC25" s="310"/>
      <c r="AD25" s="250"/>
      <c r="AE25" s="310"/>
      <c r="AF25" s="250"/>
      <c r="AG25" s="310"/>
      <c r="AH25" s="250"/>
      <c r="AI25" s="310"/>
      <c r="AJ25" s="250"/>
      <c r="AK25" s="310"/>
      <c r="AL25" s="250"/>
      <c r="AM25" s="310"/>
      <c r="AN25" s="250"/>
      <c r="AO25" s="310"/>
      <c r="AP25" s="250"/>
      <c r="AQ25" s="310"/>
      <c r="AR25" s="250"/>
      <c r="AS25" s="310"/>
      <c r="AT25" s="250"/>
      <c r="AU25" s="572">
        <f t="shared" si="1"/>
        <v>0</v>
      </c>
      <c r="AV25" s="573">
        <f t="shared" si="0"/>
        <v>0</v>
      </c>
    </row>
    <row r="26" spans="1:48" ht="12.75" customHeight="1">
      <c r="A26" s="24" t="str">
        <f>'t1'!A26</f>
        <v>POSIZIONE ECONOMICA C4</v>
      </c>
      <c r="B26" s="167" t="str">
        <f>'t1'!B26</f>
        <v>045000</v>
      </c>
      <c r="C26" s="310"/>
      <c r="D26" s="250"/>
      <c r="E26" s="310"/>
      <c r="F26" s="250"/>
      <c r="G26" s="310"/>
      <c r="H26" s="250"/>
      <c r="I26" s="310"/>
      <c r="J26" s="250"/>
      <c r="K26" s="310"/>
      <c r="L26" s="250"/>
      <c r="M26" s="310"/>
      <c r="N26" s="250"/>
      <c r="O26" s="310"/>
      <c r="P26" s="250"/>
      <c r="Q26" s="310"/>
      <c r="R26" s="250"/>
      <c r="S26" s="310"/>
      <c r="T26" s="250"/>
      <c r="U26" s="310"/>
      <c r="V26" s="250"/>
      <c r="W26" s="310"/>
      <c r="X26" s="250"/>
      <c r="Y26" s="310"/>
      <c r="Z26" s="250"/>
      <c r="AA26" s="310"/>
      <c r="AB26" s="250"/>
      <c r="AC26" s="310"/>
      <c r="AD26" s="250"/>
      <c r="AE26" s="310"/>
      <c r="AF26" s="250"/>
      <c r="AG26" s="310"/>
      <c r="AH26" s="250"/>
      <c r="AI26" s="310"/>
      <c r="AJ26" s="250"/>
      <c r="AK26" s="310"/>
      <c r="AL26" s="250"/>
      <c r="AM26" s="310"/>
      <c r="AN26" s="250"/>
      <c r="AO26" s="310"/>
      <c r="AP26" s="250"/>
      <c r="AQ26" s="310"/>
      <c r="AR26" s="250"/>
      <c r="AS26" s="310"/>
      <c r="AT26" s="250"/>
      <c r="AU26" s="572">
        <f t="shared" si="1"/>
        <v>0</v>
      </c>
      <c r="AV26" s="573">
        <f t="shared" si="0"/>
        <v>0</v>
      </c>
    </row>
    <row r="27" spans="1:48" ht="12.75" customHeight="1">
      <c r="A27" s="24" t="str">
        <f>'t1'!A27</f>
        <v>POSIZIONE ECONOMICA C3</v>
      </c>
      <c r="B27" s="167" t="str">
        <f>'t1'!B27</f>
        <v>043000</v>
      </c>
      <c r="C27" s="310"/>
      <c r="D27" s="250"/>
      <c r="E27" s="310"/>
      <c r="F27" s="250"/>
      <c r="G27" s="310"/>
      <c r="H27" s="250"/>
      <c r="I27" s="310"/>
      <c r="J27" s="250"/>
      <c r="K27" s="310"/>
      <c r="L27" s="250"/>
      <c r="M27" s="310"/>
      <c r="N27" s="250"/>
      <c r="O27" s="310"/>
      <c r="P27" s="250"/>
      <c r="Q27" s="310"/>
      <c r="R27" s="250"/>
      <c r="S27" s="310"/>
      <c r="T27" s="250"/>
      <c r="U27" s="310"/>
      <c r="V27" s="250"/>
      <c r="W27" s="310"/>
      <c r="X27" s="250"/>
      <c r="Y27" s="310"/>
      <c r="Z27" s="250"/>
      <c r="AA27" s="310"/>
      <c r="AB27" s="250"/>
      <c r="AC27" s="310"/>
      <c r="AD27" s="250"/>
      <c r="AE27" s="310"/>
      <c r="AF27" s="250"/>
      <c r="AG27" s="310"/>
      <c r="AH27" s="250"/>
      <c r="AI27" s="310"/>
      <c r="AJ27" s="250"/>
      <c r="AK27" s="310"/>
      <c r="AL27" s="250"/>
      <c r="AM27" s="310"/>
      <c r="AN27" s="250"/>
      <c r="AO27" s="310"/>
      <c r="AP27" s="250"/>
      <c r="AQ27" s="310"/>
      <c r="AR27" s="250"/>
      <c r="AS27" s="310"/>
      <c r="AT27" s="250"/>
      <c r="AU27" s="572">
        <f t="shared" si="1"/>
        <v>0</v>
      </c>
      <c r="AV27" s="573">
        <f t="shared" si="0"/>
        <v>0</v>
      </c>
    </row>
    <row r="28" spans="1:48" ht="12.75" customHeight="1">
      <c r="A28" s="24" t="str">
        <f>'t1'!A28</f>
        <v>POSIZIONE ECONOMICA C2</v>
      </c>
      <c r="B28" s="167" t="str">
        <f>'t1'!B28</f>
        <v>042000</v>
      </c>
      <c r="C28" s="310"/>
      <c r="D28" s="250"/>
      <c r="E28" s="310"/>
      <c r="F28" s="250"/>
      <c r="G28" s="310"/>
      <c r="H28" s="250"/>
      <c r="I28" s="310"/>
      <c r="J28" s="250"/>
      <c r="K28" s="310"/>
      <c r="L28" s="250"/>
      <c r="M28" s="310"/>
      <c r="N28" s="250"/>
      <c r="O28" s="310"/>
      <c r="P28" s="250"/>
      <c r="Q28" s="310"/>
      <c r="R28" s="250"/>
      <c r="S28" s="310"/>
      <c r="T28" s="250"/>
      <c r="U28" s="310"/>
      <c r="V28" s="250"/>
      <c r="W28" s="310"/>
      <c r="X28" s="250"/>
      <c r="Y28" s="310"/>
      <c r="Z28" s="250"/>
      <c r="AA28" s="310"/>
      <c r="AB28" s="250"/>
      <c r="AC28" s="310"/>
      <c r="AD28" s="250"/>
      <c r="AE28" s="310"/>
      <c r="AF28" s="250"/>
      <c r="AG28" s="310"/>
      <c r="AH28" s="250"/>
      <c r="AI28" s="310"/>
      <c r="AJ28" s="250"/>
      <c r="AK28" s="310"/>
      <c r="AL28" s="250"/>
      <c r="AM28" s="310"/>
      <c r="AN28" s="250"/>
      <c r="AO28" s="310"/>
      <c r="AP28" s="250"/>
      <c r="AQ28" s="310"/>
      <c r="AR28" s="250"/>
      <c r="AS28" s="310"/>
      <c r="AT28" s="250"/>
      <c r="AU28" s="572">
        <f t="shared" si="1"/>
        <v>0</v>
      </c>
      <c r="AV28" s="573">
        <f t="shared" si="0"/>
        <v>0</v>
      </c>
    </row>
    <row r="29" spans="1:48" ht="12.75" customHeight="1">
      <c r="A29" s="24" t="str">
        <f>'t1'!A29</f>
        <v>POSIZIONE ECONOMICA DI ACCESSO C1</v>
      </c>
      <c r="B29" s="167" t="str">
        <f>'t1'!B29</f>
        <v>056000</v>
      </c>
      <c r="C29" s="310"/>
      <c r="D29" s="250"/>
      <c r="E29" s="310"/>
      <c r="F29" s="250"/>
      <c r="G29" s="310"/>
      <c r="H29" s="250"/>
      <c r="I29" s="310"/>
      <c r="J29" s="250"/>
      <c r="K29" s="310"/>
      <c r="L29" s="250"/>
      <c r="M29" s="310"/>
      <c r="N29" s="250"/>
      <c r="O29" s="310"/>
      <c r="P29" s="250"/>
      <c r="Q29" s="310"/>
      <c r="R29" s="250"/>
      <c r="S29" s="310"/>
      <c r="T29" s="250"/>
      <c r="U29" s="310"/>
      <c r="V29" s="250"/>
      <c r="W29" s="310"/>
      <c r="X29" s="250"/>
      <c r="Y29" s="310"/>
      <c r="Z29" s="250"/>
      <c r="AA29" s="310"/>
      <c r="AB29" s="250"/>
      <c r="AC29" s="310"/>
      <c r="AD29" s="250"/>
      <c r="AE29" s="310"/>
      <c r="AF29" s="250"/>
      <c r="AG29" s="310"/>
      <c r="AH29" s="250"/>
      <c r="AI29" s="310"/>
      <c r="AJ29" s="250"/>
      <c r="AK29" s="310"/>
      <c r="AL29" s="250"/>
      <c r="AM29" s="310"/>
      <c r="AN29" s="250"/>
      <c r="AO29" s="310"/>
      <c r="AP29" s="250"/>
      <c r="AQ29" s="310"/>
      <c r="AR29" s="250"/>
      <c r="AS29" s="310"/>
      <c r="AT29" s="250"/>
      <c r="AU29" s="572">
        <f t="shared" si="1"/>
        <v>0</v>
      </c>
      <c r="AV29" s="573">
        <f t="shared" si="0"/>
        <v>0</v>
      </c>
    </row>
    <row r="30" spans="1:48" ht="12.75" customHeight="1">
      <c r="A30" s="24" t="str">
        <f>'t1'!A30</f>
        <v>POSIZ. ECON. B7 - PROFILO ACCESSO B3</v>
      </c>
      <c r="B30" s="167" t="str">
        <f>'t1'!B30</f>
        <v>0B7A00</v>
      </c>
      <c r="C30" s="310"/>
      <c r="D30" s="250"/>
      <c r="E30" s="310"/>
      <c r="F30" s="250"/>
      <c r="G30" s="310"/>
      <c r="H30" s="250"/>
      <c r="I30" s="310"/>
      <c r="J30" s="250"/>
      <c r="K30" s="310"/>
      <c r="L30" s="250"/>
      <c r="M30" s="310"/>
      <c r="N30" s="250"/>
      <c r="O30" s="310"/>
      <c r="P30" s="250"/>
      <c r="Q30" s="310"/>
      <c r="R30" s="250"/>
      <c r="S30" s="310"/>
      <c r="T30" s="250"/>
      <c r="U30" s="310"/>
      <c r="V30" s="250"/>
      <c r="W30" s="310"/>
      <c r="X30" s="250"/>
      <c r="Y30" s="310"/>
      <c r="Z30" s="250"/>
      <c r="AA30" s="310"/>
      <c r="AB30" s="250"/>
      <c r="AC30" s="310"/>
      <c r="AD30" s="250"/>
      <c r="AE30" s="310"/>
      <c r="AF30" s="250"/>
      <c r="AG30" s="310"/>
      <c r="AH30" s="250"/>
      <c r="AI30" s="310"/>
      <c r="AJ30" s="250"/>
      <c r="AK30" s="310"/>
      <c r="AL30" s="250"/>
      <c r="AM30" s="310"/>
      <c r="AN30" s="250"/>
      <c r="AO30" s="310"/>
      <c r="AP30" s="250"/>
      <c r="AQ30" s="310"/>
      <c r="AR30" s="250"/>
      <c r="AS30" s="310"/>
      <c r="AT30" s="250"/>
      <c r="AU30" s="572">
        <f t="shared" si="1"/>
        <v>0</v>
      </c>
      <c r="AV30" s="573">
        <f t="shared" si="0"/>
        <v>0</v>
      </c>
    </row>
    <row r="31" spans="1:48" ht="12.75" customHeight="1">
      <c r="A31" s="24" t="str">
        <f>'t1'!A31</f>
        <v>POSIZ. ECON. B7 - PROFILO  ACCESSO B1</v>
      </c>
      <c r="B31" s="167" t="str">
        <f>'t1'!B31</f>
        <v>0B7000</v>
      </c>
      <c r="C31" s="310"/>
      <c r="D31" s="250"/>
      <c r="E31" s="310"/>
      <c r="F31" s="250"/>
      <c r="G31" s="310"/>
      <c r="H31" s="250"/>
      <c r="I31" s="310"/>
      <c r="J31" s="250"/>
      <c r="K31" s="310"/>
      <c r="L31" s="250"/>
      <c r="M31" s="310"/>
      <c r="N31" s="250"/>
      <c r="O31" s="310"/>
      <c r="P31" s="250"/>
      <c r="Q31" s="310"/>
      <c r="R31" s="250"/>
      <c r="S31" s="310"/>
      <c r="T31" s="250"/>
      <c r="U31" s="310"/>
      <c r="V31" s="250"/>
      <c r="W31" s="310"/>
      <c r="X31" s="250"/>
      <c r="Y31" s="310"/>
      <c r="Z31" s="250"/>
      <c r="AA31" s="310"/>
      <c r="AB31" s="250"/>
      <c r="AC31" s="310"/>
      <c r="AD31" s="250"/>
      <c r="AE31" s="310"/>
      <c r="AF31" s="250"/>
      <c r="AG31" s="310"/>
      <c r="AH31" s="250"/>
      <c r="AI31" s="310"/>
      <c r="AJ31" s="250"/>
      <c r="AK31" s="310"/>
      <c r="AL31" s="250"/>
      <c r="AM31" s="310"/>
      <c r="AN31" s="250"/>
      <c r="AO31" s="310"/>
      <c r="AP31" s="250"/>
      <c r="AQ31" s="310"/>
      <c r="AR31" s="250"/>
      <c r="AS31" s="310"/>
      <c r="AT31" s="250"/>
      <c r="AU31" s="572">
        <f t="shared" si="1"/>
        <v>0</v>
      </c>
      <c r="AV31" s="573">
        <f t="shared" si="0"/>
        <v>0</v>
      </c>
    </row>
    <row r="32" spans="1:48" ht="12.75" customHeight="1">
      <c r="A32" s="24" t="str">
        <f>'t1'!A32</f>
        <v>POSIZ.ECON. B6 PROFILI ACCESSO B3</v>
      </c>
      <c r="B32" s="167" t="str">
        <f>'t1'!B32</f>
        <v>038490</v>
      </c>
      <c r="C32" s="310"/>
      <c r="D32" s="250"/>
      <c r="E32" s="310"/>
      <c r="F32" s="250"/>
      <c r="G32" s="310"/>
      <c r="H32" s="250"/>
      <c r="I32" s="310"/>
      <c r="J32" s="250"/>
      <c r="K32" s="310"/>
      <c r="L32" s="250"/>
      <c r="M32" s="310"/>
      <c r="N32" s="250"/>
      <c r="O32" s="310"/>
      <c r="P32" s="250"/>
      <c r="Q32" s="310"/>
      <c r="R32" s="250"/>
      <c r="S32" s="310"/>
      <c r="T32" s="250"/>
      <c r="U32" s="310"/>
      <c r="V32" s="250"/>
      <c r="W32" s="310"/>
      <c r="X32" s="250"/>
      <c r="Y32" s="310"/>
      <c r="Z32" s="250"/>
      <c r="AA32" s="310"/>
      <c r="AB32" s="250"/>
      <c r="AC32" s="310"/>
      <c r="AD32" s="250"/>
      <c r="AE32" s="310"/>
      <c r="AF32" s="250"/>
      <c r="AG32" s="310"/>
      <c r="AH32" s="250"/>
      <c r="AI32" s="310"/>
      <c r="AJ32" s="250"/>
      <c r="AK32" s="310"/>
      <c r="AL32" s="250"/>
      <c r="AM32" s="310"/>
      <c r="AN32" s="250"/>
      <c r="AO32" s="310"/>
      <c r="AP32" s="250"/>
      <c r="AQ32" s="310"/>
      <c r="AR32" s="250"/>
      <c r="AS32" s="310"/>
      <c r="AT32" s="250"/>
      <c r="AU32" s="572">
        <f t="shared" si="1"/>
        <v>0</v>
      </c>
      <c r="AV32" s="573">
        <f t="shared" si="0"/>
        <v>0</v>
      </c>
    </row>
    <row r="33" spans="1:48" ht="12.75" customHeight="1">
      <c r="A33" s="168" t="str">
        <f>'t1'!A33</f>
        <v>POSIZ.ECON. B6 PROFILI ACCESSO B1</v>
      </c>
      <c r="B33" s="249" t="str">
        <f>'t1'!B33</f>
        <v>038491</v>
      </c>
      <c r="C33" s="310"/>
      <c r="D33" s="250"/>
      <c r="E33" s="310"/>
      <c r="F33" s="250"/>
      <c r="G33" s="310"/>
      <c r="H33" s="250"/>
      <c r="I33" s="310"/>
      <c r="J33" s="250"/>
      <c r="K33" s="310"/>
      <c r="L33" s="250"/>
      <c r="M33" s="310"/>
      <c r="N33" s="250"/>
      <c r="O33" s="310"/>
      <c r="P33" s="250"/>
      <c r="Q33" s="310"/>
      <c r="R33" s="250"/>
      <c r="S33" s="310"/>
      <c r="T33" s="250"/>
      <c r="U33" s="310"/>
      <c r="V33" s="250"/>
      <c r="W33" s="310"/>
      <c r="X33" s="250"/>
      <c r="Y33" s="310"/>
      <c r="Z33" s="250"/>
      <c r="AA33" s="310"/>
      <c r="AB33" s="250"/>
      <c r="AC33" s="310"/>
      <c r="AD33" s="250"/>
      <c r="AE33" s="310"/>
      <c r="AF33" s="250"/>
      <c r="AG33" s="310"/>
      <c r="AH33" s="250"/>
      <c r="AI33" s="310"/>
      <c r="AJ33" s="250"/>
      <c r="AK33" s="310"/>
      <c r="AL33" s="250"/>
      <c r="AM33" s="310"/>
      <c r="AN33" s="250"/>
      <c r="AO33" s="310"/>
      <c r="AP33" s="250"/>
      <c r="AQ33" s="310"/>
      <c r="AR33" s="250"/>
      <c r="AS33" s="310"/>
      <c r="AT33" s="250"/>
      <c r="AU33" s="572">
        <f t="shared" si="1"/>
        <v>0</v>
      </c>
      <c r="AV33" s="573">
        <f t="shared" si="0"/>
        <v>0</v>
      </c>
    </row>
    <row r="34" spans="1:48" ht="12.75" customHeight="1">
      <c r="A34" s="24" t="str">
        <f>'t1'!A34</f>
        <v>POSIZ.ECON. B5 PROFILI ACCESSO B3</v>
      </c>
      <c r="B34" s="167" t="str">
        <f>'t1'!B34</f>
        <v>037492</v>
      </c>
      <c r="C34" s="310"/>
      <c r="D34" s="250"/>
      <c r="E34" s="310"/>
      <c r="F34" s="250"/>
      <c r="G34" s="310"/>
      <c r="H34" s="250"/>
      <c r="I34" s="310"/>
      <c r="J34" s="250"/>
      <c r="K34" s="310"/>
      <c r="L34" s="250"/>
      <c r="M34" s="310"/>
      <c r="N34" s="250"/>
      <c r="O34" s="310"/>
      <c r="P34" s="250"/>
      <c r="Q34" s="310"/>
      <c r="R34" s="250"/>
      <c r="S34" s="310"/>
      <c r="T34" s="250"/>
      <c r="U34" s="310"/>
      <c r="V34" s="250"/>
      <c r="W34" s="310"/>
      <c r="X34" s="250"/>
      <c r="Y34" s="310"/>
      <c r="Z34" s="250"/>
      <c r="AA34" s="310"/>
      <c r="AB34" s="250"/>
      <c r="AC34" s="310"/>
      <c r="AD34" s="250"/>
      <c r="AE34" s="310"/>
      <c r="AF34" s="250"/>
      <c r="AG34" s="310"/>
      <c r="AH34" s="250"/>
      <c r="AI34" s="310"/>
      <c r="AJ34" s="250"/>
      <c r="AK34" s="310"/>
      <c r="AL34" s="250"/>
      <c r="AM34" s="310"/>
      <c r="AN34" s="250"/>
      <c r="AO34" s="310"/>
      <c r="AP34" s="250"/>
      <c r="AQ34" s="310"/>
      <c r="AR34" s="250"/>
      <c r="AS34" s="310"/>
      <c r="AT34" s="250"/>
      <c r="AU34" s="572">
        <f t="shared" si="1"/>
        <v>0</v>
      </c>
      <c r="AV34" s="573">
        <f t="shared" si="0"/>
        <v>0</v>
      </c>
    </row>
    <row r="35" spans="1:48" ht="12.75" customHeight="1">
      <c r="A35" s="24" t="str">
        <f>'t1'!A35</f>
        <v>POSIZ.ECON. B5 PROFILI ACCESSO B1</v>
      </c>
      <c r="B35" s="167" t="str">
        <f>'t1'!B35</f>
        <v>037493</v>
      </c>
      <c r="C35" s="310"/>
      <c r="D35" s="250"/>
      <c r="E35" s="310"/>
      <c r="F35" s="250"/>
      <c r="G35" s="310"/>
      <c r="H35" s="250"/>
      <c r="I35" s="310"/>
      <c r="J35" s="250"/>
      <c r="K35" s="310"/>
      <c r="L35" s="250"/>
      <c r="M35" s="310"/>
      <c r="N35" s="250"/>
      <c r="O35" s="310"/>
      <c r="P35" s="250"/>
      <c r="Q35" s="310"/>
      <c r="R35" s="250"/>
      <c r="S35" s="310"/>
      <c r="T35" s="250"/>
      <c r="U35" s="310"/>
      <c r="V35" s="250"/>
      <c r="W35" s="310"/>
      <c r="X35" s="250"/>
      <c r="Y35" s="310"/>
      <c r="Z35" s="250"/>
      <c r="AA35" s="310"/>
      <c r="AB35" s="250"/>
      <c r="AC35" s="310"/>
      <c r="AD35" s="250"/>
      <c r="AE35" s="310"/>
      <c r="AF35" s="250"/>
      <c r="AG35" s="310"/>
      <c r="AH35" s="250"/>
      <c r="AI35" s="310"/>
      <c r="AJ35" s="250"/>
      <c r="AK35" s="310"/>
      <c r="AL35" s="250"/>
      <c r="AM35" s="310"/>
      <c r="AN35" s="250"/>
      <c r="AO35" s="310"/>
      <c r="AP35" s="250"/>
      <c r="AQ35" s="310"/>
      <c r="AR35" s="250"/>
      <c r="AS35" s="310"/>
      <c r="AT35" s="250"/>
      <c r="AU35" s="572">
        <f t="shared" si="1"/>
        <v>0</v>
      </c>
      <c r="AV35" s="573">
        <f t="shared" si="0"/>
        <v>0</v>
      </c>
    </row>
    <row r="36" spans="1:48" ht="12.75" customHeight="1">
      <c r="A36" s="24" t="str">
        <f>'t1'!A36</f>
        <v>POSIZ.ECON. B4 PROFILI ACCESSO B3</v>
      </c>
      <c r="B36" s="167" t="str">
        <f>'t1'!B36</f>
        <v>036494</v>
      </c>
      <c r="C36" s="310"/>
      <c r="D36" s="250"/>
      <c r="E36" s="310"/>
      <c r="F36" s="250"/>
      <c r="G36" s="310"/>
      <c r="H36" s="250"/>
      <c r="I36" s="310"/>
      <c r="J36" s="250"/>
      <c r="K36" s="310"/>
      <c r="L36" s="250"/>
      <c r="M36" s="310"/>
      <c r="N36" s="250"/>
      <c r="O36" s="310"/>
      <c r="P36" s="250"/>
      <c r="Q36" s="310"/>
      <c r="R36" s="250"/>
      <c r="S36" s="310"/>
      <c r="T36" s="250"/>
      <c r="U36" s="310"/>
      <c r="V36" s="250"/>
      <c r="W36" s="310"/>
      <c r="X36" s="250"/>
      <c r="Y36" s="310"/>
      <c r="Z36" s="250"/>
      <c r="AA36" s="310"/>
      <c r="AB36" s="250"/>
      <c r="AC36" s="310"/>
      <c r="AD36" s="250"/>
      <c r="AE36" s="310"/>
      <c r="AF36" s="250"/>
      <c r="AG36" s="310"/>
      <c r="AH36" s="250"/>
      <c r="AI36" s="310"/>
      <c r="AJ36" s="250"/>
      <c r="AK36" s="310"/>
      <c r="AL36" s="250"/>
      <c r="AM36" s="310"/>
      <c r="AN36" s="250"/>
      <c r="AO36" s="310"/>
      <c r="AP36" s="250"/>
      <c r="AQ36" s="310"/>
      <c r="AR36" s="250"/>
      <c r="AS36" s="310"/>
      <c r="AT36" s="250"/>
      <c r="AU36" s="572">
        <f t="shared" si="1"/>
        <v>0</v>
      </c>
      <c r="AV36" s="573">
        <f t="shared" si="0"/>
        <v>0</v>
      </c>
    </row>
    <row r="37" spans="1:48" ht="12.75" customHeight="1">
      <c r="A37" s="24" t="str">
        <f>'t1'!A37</f>
        <v>POSIZ.ECON. B4 PROFILI ACCESSO B1</v>
      </c>
      <c r="B37" s="167" t="str">
        <f>'t1'!B37</f>
        <v>036495</v>
      </c>
      <c r="C37" s="310"/>
      <c r="D37" s="250"/>
      <c r="E37" s="310"/>
      <c r="F37" s="250"/>
      <c r="G37" s="310"/>
      <c r="H37" s="250"/>
      <c r="I37" s="310"/>
      <c r="J37" s="250"/>
      <c r="K37" s="310"/>
      <c r="L37" s="250"/>
      <c r="M37" s="310"/>
      <c r="N37" s="250"/>
      <c r="O37" s="310"/>
      <c r="P37" s="250"/>
      <c r="Q37" s="310"/>
      <c r="R37" s="250"/>
      <c r="S37" s="310"/>
      <c r="T37" s="250"/>
      <c r="U37" s="310"/>
      <c r="V37" s="250"/>
      <c r="W37" s="310"/>
      <c r="X37" s="250"/>
      <c r="Y37" s="310"/>
      <c r="Z37" s="250"/>
      <c r="AA37" s="310"/>
      <c r="AB37" s="250"/>
      <c r="AC37" s="310"/>
      <c r="AD37" s="250"/>
      <c r="AE37" s="310"/>
      <c r="AF37" s="250"/>
      <c r="AG37" s="310"/>
      <c r="AH37" s="250"/>
      <c r="AI37" s="310"/>
      <c r="AJ37" s="250"/>
      <c r="AK37" s="310"/>
      <c r="AL37" s="250"/>
      <c r="AM37" s="310"/>
      <c r="AN37" s="250"/>
      <c r="AO37" s="310"/>
      <c r="AP37" s="250"/>
      <c r="AQ37" s="310"/>
      <c r="AR37" s="250"/>
      <c r="AS37" s="310"/>
      <c r="AT37" s="250"/>
      <c r="AU37" s="572">
        <f t="shared" si="1"/>
        <v>0</v>
      </c>
      <c r="AV37" s="573">
        <f t="shared" si="0"/>
        <v>0</v>
      </c>
    </row>
    <row r="38" spans="1:48" ht="12.75" customHeight="1">
      <c r="A38" s="24" t="str">
        <f>'t1'!A38</f>
        <v>POSIZIONE ECONOMICA DI ACCESSO B3</v>
      </c>
      <c r="B38" s="167" t="str">
        <f>'t1'!B38</f>
        <v>055000</v>
      </c>
      <c r="C38" s="310"/>
      <c r="D38" s="250"/>
      <c r="E38" s="310"/>
      <c r="F38" s="250"/>
      <c r="G38" s="310"/>
      <c r="H38" s="250"/>
      <c r="I38" s="310"/>
      <c r="J38" s="250"/>
      <c r="K38" s="310"/>
      <c r="L38" s="250"/>
      <c r="M38" s="310"/>
      <c r="N38" s="250"/>
      <c r="O38" s="310"/>
      <c r="P38" s="250"/>
      <c r="Q38" s="310"/>
      <c r="R38" s="250"/>
      <c r="S38" s="310"/>
      <c r="T38" s="250"/>
      <c r="U38" s="310"/>
      <c r="V38" s="250"/>
      <c r="W38" s="310"/>
      <c r="X38" s="250"/>
      <c r="Y38" s="310"/>
      <c r="Z38" s="250"/>
      <c r="AA38" s="310"/>
      <c r="AB38" s="250"/>
      <c r="AC38" s="310"/>
      <c r="AD38" s="250"/>
      <c r="AE38" s="310"/>
      <c r="AF38" s="250"/>
      <c r="AG38" s="310"/>
      <c r="AH38" s="250"/>
      <c r="AI38" s="310"/>
      <c r="AJ38" s="250"/>
      <c r="AK38" s="310"/>
      <c r="AL38" s="250"/>
      <c r="AM38" s="310"/>
      <c r="AN38" s="250"/>
      <c r="AO38" s="310"/>
      <c r="AP38" s="250"/>
      <c r="AQ38" s="310"/>
      <c r="AR38" s="250"/>
      <c r="AS38" s="310"/>
      <c r="AT38" s="250"/>
      <c r="AU38" s="572">
        <f t="shared" si="1"/>
        <v>0</v>
      </c>
      <c r="AV38" s="573">
        <f t="shared" si="0"/>
        <v>0</v>
      </c>
    </row>
    <row r="39" spans="1:48" ht="12.75" customHeight="1">
      <c r="A39" s="24" t="str">
        <f>'t1'!A39</f>
        <v>POSIZIONE ECONOMICA B3</v>
      </c>
      <c r="B39" s="167" t="str">
        <f>'t1'!B39</f>
        <v>034000</v>
      </c>
      <c r="C39" s="310"/>
      <c r="D39" s="250"/>
      <c r="E39" s="310"/>
      <c r="F39" s="250"/>
      <c r="G39" s="310"/>
      <c r="H39" s="250"/>
      <c r="I39" s="310"/>
      <c r="J39" s="250"/>
      <c r="K39" s="310"/>
      <c r="L39" s="250"/>
      <c r="M39" s="310"/>
      <c r="N39" s="250"/>
      <c r="O39" s="310"/>
      <c r="P39" s="250"/>
      <c r="Q39" s="310"/>
      <c r="R39" s="250"/>
      <c r="S39" s="310"/>
      <c r="T39" s="250"/>
      <c r="U39" s="310"/>
      <c r="V39" s="250"/>
      <c r="W39" s="310"/>
      <c r="X39" s="250"/>
      <c r="Y39" s="310"/>
      <c r="Z39" s="250"/>
      <c r="AA39" s="310"/>
      <c r="AB39" s="250"/>
      <c r="AC39" s="310"/>
      <c r="AD39" s="250"/>
      <c r="AE39" s="310"/>
      <c r="AF39" s="250"/>
      <c r="AG39" s="310"/>
      <c r="AH39" s="250"/>
      <c r="AI39" s="310"/>
      <c r="AJ39" s="250"/>
      <c r="AK39" s="310"/>
      <c r="AL39" s="250"/>
      <c r="AM39" s="310"/>
      <c r="AN39" s="250"/>
      <c r="AO39" s="310"/>
      <c r="AP39" s="250"/>
      <c r="AQ39" s="310"/>
      <c r="AR39" s="250"/>
      <c r="AS39" s="310"/>
      <c r="AT39" s="250"/>
      <c r="AU39" s="572">
        <f t="shared" si="1"/>
        <v>0</v>
      </c>
      <c r="AV39" s="573">
        <f t="shared" si="0"/>
        <v>0</v>
      </c>
    </row>
    <row r="40" spans="1:48" ht="12.75" customHeight="1">
      <c r="A40" s="24" t="str">
        <f>'t1'!A40</f>
        <v>POSIZIONE ECONOMICA B2</v>
      </c>
      <c r="B40" s="167" t="str">
        <f>'t1'!B40</f>
        <v>032000</v>
      </c>
      <c r="C40" s="310"/>
      <c r="D40" s="250"/>
      <c r="E40" s="310"/>
      <c r="F40" s="250"/>
      <c r="G40" s="310"/>
      <c r="H40" s="250"/>
      <c r="I40" s="310"/>
      <c r="J40" s="250"/>
      <c r="K40" s="310"/>
      <c r="L40" s="250"/>
      <c r="M40" s="310"/>
      <c r="N40" s="250"/>
      <c r="O40" s="310"/>
      <c r="P40" s="250"/>
      <c r="Q40" s="310"/>
      <c r="R40" s="250"/>
      <c r="S40" s="310"/>
      <c r="T40" s="250"/>
      <c r="U40" s="310"/>
      <c r="V40" s="250"/>
      <c r="W40" s="310"/>
      <c r="X40" s="250"/>
      <c r="Y40" s="310"/>
      <c r="Z40" s="250"/>
      <c r="AA40" s="310"/>
      <c r="AB40" s="250"/>
      <c r="AC40" s="310"/>
      <c r="AD40" s="250"/>
      <c r="AE40" s="310"/>
      <c r="AF40" s="250"/>
      <c r="AG40" s="310"/>
      <c r="AH40" s="250"/>
      <c r="AI40" s="310"/>
      <c r="AJ40" s="250"/>
      <c r="AK40" s="310"/>
      <c r="AL40" s="250"/>
      <c r="AM40" s="310"/>
      <c r="AN40" s="250"/>
      <c r="AO40" s="310"/>
      <c r="AP40" s="250"/>
      <c r="AQ40" s="310"/>
      <c r="AR40" s="250"/>
      <c r="AS40" s="310"/>
      <c r="AT40" s="250"/>
      <c r="AU40" s="572">
        <f t="shared" si="1"/>
        <v>0</v>
      </c>
      <c r="AV40" s="573">
        <f t="shared" si="0"/>
        <v>0</v>
      </c>
    </row>
    <row r="41" spans="1:48" ht="12.75" customHeight="1">
      <c r="A41" s="24" t="str">
        <f>'t1'!A41</f>
        <v>POSIZIONE ECONOMICA DI ACCESSO B1</v>
      </c>
      <c r="B41" s="167" t="str">
        <f>'t1'!B41</f>
        <v>054000</v>
      </c>
      <c r="C41" s="310"/>
      <c r="D41" s="250"/>
      <c r="E41" s="310"/>
      <c r="F41" s="250"/>
      <c r="G41" s="310"/>
      <c r="H41" s="250"/>
      <c r="I41" s="310"/>
      <c r="J41" s="250"/>
      <c r="K41" s="310"/>
      <c r="L41" s="250"/>
      <c r="M41" s="310"/>
      <c r="N41" s="250"/>
      <c r="O41" s="310"/>
      <c r="P41" s="250"/>
      <c r="Q41" s="310"/>
      <c r="R41" s="250"/>
      <c r="S41" s="310"/>
      <c r="T41" s="250"/>
      <c r="U41" s="310"/>
      <c r="V41" s="250"/>
      <c r="W41" s="310"/>
      <c r="X41" s="250"/>
      <c r="Y41" s="310"/>
      <c r="Z41" s="250"/>
      <c r="AA41" s="310"/>
      <c r="AB41" s="250"/>
      <c r="AC41" s="310"/>
      <c r="AD41" s="250"/>
      <c r="AE41" s="310"/>
      <c r="AF41" s="250"/>
      <c r="AG41" s="310"/>
      <c r="AH41" s="250"/>
      <c r="AI41" s="310"/>
      <c r="AJ41" s="250"/>
      <c r="AK41" s="310"/>
      <c r="AL41" s="250"/>
      <c r="AM41" s="310"/>
      <c r="AN41" s="250"/>
      <c r="AO41" s="310"/>
      <c r="AP41" s="250"/>
      <c r="AQ41" s="310"/>
      <c r="AR41" s="250"/>
      <c r="AS41" s="310"/>
      <c r="AT41" s="250"/>
      <c r="AU41" s="572">
        <f aca="true" t="shared" si="2" ref="AU41:AU48">SUM(S41,U41,W41,Y41,C41,E41,G41,I41,K41,M41,O41,Q41,AA41,AC41,AE41,AG41,AI41,AK41,AM41,AO41,AQ41,AS41)</f>
        <v>0</v>
      </c>
      <c r="AV41" s="573">
        <f aca="true" t="shared" si="3" ref="AV41:AV48">SUM(T41,V41,X41,Z41,D41,F41,H41,J41,L41,N41,P41,R41,AB41,AD41,AF41,AH41,AJ41,AL41,AN41,AP41,AR41,AT41)</f>
        <v>0</v>
      </c>
    </row>
    <row r="42" spans="1:48" ht="12.75" customHeight="1">
      <c r="A42" s="24" t="str">
        <f>'t1'!A42</f>
        <v>POSIZIONE ECONOMICA A5</v>
      </c>
      <c r="B42" s="167" t="str">
        <f>'t1'!B42</f>
        <v>0A5000</v>
      </c>
      <c r="C42" s="310"/>
      <c r="D42" s="250"/>
      <c r="E42" s="310"/>
      <c r="F42" s="250"/>
      <c r="G42" s="310"/>
      <c r="H42" s="250"/>
      <c r="I42" s="310"/>
      <c r="J42" s="250"/>
      <c r="K42" s="310"/>
      <c r="L42" s="250"/>
      <c r="M42" s="310"/>
      <c r="N42" s="250"/>
      <c r="O42" s="310"/>
      <c r="P42" s="250"/>
      <c r="Q42" s="310"/>
      <c r="R42" s="250"/>
      <c r="S42" s="310"/>
      <c r="T42" s="250"/>
      <c r="U42" s="310"/>
      <c r="V42" s="250"/>
      <c r="W42" s="310"/>
      <c r="X42" s="250"/>
      <c r="Y42" s="310"/>
      <c r="Z42" s="250"/>
      <c r="AA42" s="310"/>
      <c r="AB42" s="250"/>
      <c r="AC42" s="310"/>
      <c r="AD42" s="250"/>
      <c r="AE42" s="310"/>
      <c r="AF42" s="250"/>
      <c r="AG42" s="310"/>
      <c r="AH42" s="250"/>
      <c r="AI42" s="310"/>
      <c r="AJ42" s="250"/>
      <c r="AK42" s="310"/>
      <c r="AL42" s="250"/>
      <c r="AM42" s="310"/>
      <c r="AN42" s="250"/>
      <c r="AO42" s="310"/>
      <c r="AP42" s="250"/>
      <c r="AQ42" s="310"/>
      <c r="AR42" s="250"/>
      <c r="AS42" s="310"/>
      <c r="AT42" s="250"/>
      <c r="AU42" s="572">
        <f t="shared" si="2"/>
        <v>0</v>
      </c>
      <c r="AV42" s="573">
        <f t="shared" si="3"/>
        <v>0</v>
      </c>
    </row>
    <row r="43" spans="1:48" ht="12.75" customHeight="1">
      <c r="A43" s="24" t="str">
        <f>'t1'!A43</f>
        <v>POSIZIONE ECONOMICA A4</v>
      </c>
      <c r="B43" s="167" t="str">
        <f>'t1'!B43</f>
        <v>028000</v>
      </c>
      <c r="C43" s="310"/>
      <c r="D43" s="250"/>
      <c r="E43" s="310"/>
      <c r="F43" s="250"/>
      <c r="G43" s="310"/>
      <c r="H43" s="250"/>
      <c r="I43" s="310"/>
      <c r="J43" s="250"/>
      <c r="K43" s="310"/>
      <c r="L43" s="250"/>
      <c r="M43" s="310"/>
      <c r="N43" s="250"/>
      <c r="O43" s="310"/>
      <c r="P43" s="250"/>
      <c r="Q43" s="310"/>
      <c r="R43" s="250"/>
      <c r="S43" s="310"/>
      <c r="T43" s="250"/>
      <c r="U43" s="310"/>
      <c r="V43" s="250"/>
      <c r="W43" s="310"/>
      <c r="X43" s="250"/>
      <c r="Y43" s="310"/>
      <c r="Z43" s="250"/>
      <c r="AA43" s="310"/>
      <c r="AB43" s="250"/>
      <c r="AC43" s="310"/>
      <c r="AD43" s="250"/>
      <c r="AE43" s="310"/>
      <c r="AF43" s="250"/>
      <c r="AG43" s="310"/>
      <c r="AH43" s="250"/>
      <c r="AI43" s="310"/>
      <c r="AJ43" s="250"/>
      <c r="AK43" s="310"/>
      <c r="AL43" s="250"/>
      <c r="AM43" s="310"/>
      <c r="AN43" s="250"/>
      <c r="AO43" s="310"/>
      <c r="AP43" s="250"/>
      <c r="AQ43" s="310"/>
      <c r="AR43" s="250"/>
      <c r="AS43" s="310"/>
      <c r="AT43" s="250"/>
      <c r="AU43" s="572">
        <f t="shared" si="2"/>
        <v>0</v>
      </c>
      <c r="AV43" s="573">
        <f t="shared" si="3"/>
        <v>0</v>
      </c>
    </row>
    <row r="44" spans="1:48" ht="12.75" customHeight="1">
      <c r="A44" s="24" t="str">
        <f>'t1'!A44</f>
        <v>POSIZIONE ECONOMICA A3</v>
      </c>
      <c r="B44" s="167" t="str">
        <f>'t1'!B44</f>
        <v>027000</v>
      </c>
      <c r="C44" s="310"/>
      <c r="D44" s="250"/>
      <c r="E44" s="310"/>
      <c r="F44" s="250"/>
      <c r="G44" s="310"/>
      <c r="H44" s="250"/>
      <c r="I44" s="310"/>
      <c r="J44" s="250"/>
      <c r="K44" s="310"/>
      <c r="L44" s="250"/>
      <c r="M44" s="310"/>
      <c r="N44" s="250"/>
      <c r="O44" s="310"/>
      <c r="P44" s="250"/>
      <c r="Q44" s="310"/>
      <c r="R44" s="250"/>
      <c r="S44" s="310"/>
      <c r="T44" s="250"/>
      <c r="U44" s="310"/>
      <c r="V44" s="250"/>
      <c r="W44" s="310"/>
      <c r="X44" s="250"/>
      <c r="Y44" s="310"/>
      <c r="Z44" s="250"/>
      <c r="AA44" s="310"/>
      <c r="AB44" s="250"/>
      <c r="AC44" s="310"/>
      <c r="AD44" s="250"/>
      <c r="AE44" s="310"/>
      <c r="AF44" s="250"/>
      <c r="AG44" s="310"/>
      <c r="AH44" s="250"/>
      <c r="AI44" s="310"/>
      <c r="AJ44" s="250"/>
      <c r="AK44" s="310"/>
      <c r="AL44" s="250"/>
      <c r="AM44" s="310"/>
      <c r="AN44" s="250"/>
      <c r="AO44" s="310"/>
      <c r="AP44" s="250"/>
      <c r="AQ44" s="310"/>
      <c r="AR44" s="250"/>
      <c r="AS44" s="310"/>
      <c r="AT44" s="250"/>
      <c r="AU44" s="572">
        <f t="shared" si="2"/>
        <v>0</v>
      </c>
      <c r="AV44" s="573">
        <f t="shared" si="3"/>
        <v>0</v>
      </c>
    </row>
    <row r="45" spans="1:48" ht="12.75" customHeight="1">
      <c r="A45" s="24" t="str">
        <f>'t1'!A45</f>
        <v>POSIZIONE ECONOMICA A2</v>
      </c>
      <c r="B45" s="167" t="str">
        <f>'t1'!B45</f>
        <v>025000</v>
      </c>
      <c r="C45" s="310"/>
      <c r="D45" s="250"/>
      <c r="E45" s="310"/>
      <c r="F45" s="250"/>
      <c r="G45" s="310"/>
      <c r="H45" s="250"/>
      <c r="I45" s="310"/>
      <c r="J45" s="250"/>
      <c r="K45" s="310"/>
      <c r="L45" s="250"/>
      <c r="M45" s="310"/>
      <c r="N45" s="250"/>
      <c r="O45" s="310"/>
      <c r="P45" s="250"/>
      <c r="Q45" s="310"/>
      <c r="R45" s="250"/>
      <c r="S45" s="310"/>
      <c r="T45" s="250"/>
      <c r="U45" s="310"/>
      <c r="V45" s="250"/>
      <c r="W45" s="310"/>
      <c r="X45" s="250"/>
      <c r="Y45" s="310"/>
      <c r="Z45" s="250"/>
      <c r="AA45" s="310"/>
      <c r="AB45" s="250"/>
      <c r="AC45" s="310"/>
      <c r="AD45" s="250"/>
      <c r="AE45" s="310"/>
      <c r="AF45" s="250"/>
      <c r="AG45" s="310"/>
      <c r="AH45" s="250"/>
      <c r="AI45" s="310"/>
      <c r="AJ45" s="250"/>
      <c r="AK45" s="310"/>
      <c r="AL45" s="250"/>
      <c r="AM45" s="310"/>
      <c r="AN45" s="250"/>
      <c r="AO45" s="310"/>
      <c r="AP45" s="250"/>
      <c r="AQ45" s="310"/>
      <c r="AR45" s="250"/>
      <c r="AS45" s="310"/>
      <c r="AT45" s="250"/>
      <c r="AU45" s="572">
        <f t="shared" si="2"/>
        <v>0</v>
      </c>
      <c r="AV45" s="573">
        <f t="shared" si="3"/>
        <v>0</v>
      </c>
    </row>
    <row r="46" spans="1:48" ht="12.75" customHeight="1">
      <c r="A46" s="24" t="str">
        <f>'t1'!A46</f>
        <v>POSIZIONE ECONOMICA DI ACCESSO A1</v>
      </c>
      <c r="B46" s="167" t="str">
        <f>'t1'!B46</f>
        <v>053000</v>
      </c>
      <c r="C46" s="310"/>
      <c r="D46" s="250"/>
      <c r="E46" s="310"/>
      <c r="F46" s="250"/>
      <c r="G46" s="310"/>
      <c r="H46" s="250"/>
      <c r="I46" s="310"/>
      <c r="J46" s="250"/>
      <c r="K46" s="310"/>
      <c r="L46" s="250"/>
      <c r="M46" s="310"/>
      <c r="N46" s="250"/>
      <c r="O46" s="310"/>
      <c r="P46" s="250"/>
      <c r="Q46" s="310"/>
      <c r="R46" s="250"/>
      <c r="S46" s="310"/>
      <c r="T46" s="250"/>
      <c r="U46" s="310"/>
      <c r="V46" s="250"/>
      <c r="W46" s="310"/>
      <c r="X46" s="250"/>
      <c r="Y46" s="310"/>
      <c r="Z46" s="250"/>
      <c r="AA46" s="310"/>
      <c r="AB46" s="250"/>
      <c r="AC46" s="310"/>
      <c r="AD46" s="250"/>
      <c r="AE46" s="310"/>
      <c r="AF46" s="250"/>
      <c r="AG46" s="310"/>
      <c r="AH46" s="250"/>
      <c r="AI46" s="310"/>
      <c r="AJ46" s="250"/>
      <c r="AK46" s="310"/>
      <c r="AL46" s="250"/>
      <c r="AM46" s="310"/>
      <c r="AN46" s="250"/>
      <c r="AO46" s="310"/>
      <c r="AP46" s="250"/>
      <c r="AQ46" s="310"/>
      <c r="AR46" s="250"/>
      <c r="AS46" s="310"/>
      <c r="AT46" s="250"/>
      <c r="AU46" s="572">
        <f t="shared" si="2"/>
        <v>0</v>
      </c>
      <c r="AV46" s="573">
        <f t="shared" si="3"/>
        <v>0</v>
      </c>
    </row>
    <row r="47" spans="1:48" ht="12.75" customHeight="1">
      <c r="A47" s="24" t="str">
        <f>'t1'!A47</f>
        <v>CONTRATTISTI (a)</v>
      </c>
      <c r="B47" s="167" t="str">
        <f>'t1'!B47</f>
        <v>000061</v>
      </c>
      <c r="C47" s="310"/>
      <c r="D47" s="250"/>
      <c r="E47" s="310"/>
      <c r="F47" s="250"/>
      <c r="G47" s="310"/>
      <c r="H47" s="250"/>
      <c r="I47" s="310"/>
      <c r="J47" s="250"/>
      <c r="K47" s="310"/>
      <c r="L47" s="250"/>
      <c r="M47" s="310"/>
      <c r="N47" s="250"/>
      <c r="O47" s="310"/>
      <c r="P47" s="250"/>
      <c r="Q47" s="310"/>
      <c r="R47" s="250"/>
      <c r="S47" s="310"/>
      <c r="T47" s="250"/>
      <c r="U47" s="310"/>
      <c r="V47" s="250"/>
      <c r="W47" s="310"/>
      <c r="X47" s="250"/>
      <c r="Y47" s="310"/>
      <c r="Z47" s="250"/>
      <c r="AA47" s="310"/>
      <c r="AB47" s="250"/>
      <c r="AC47" s="310"/>
      <c r="AD47" s="250"/>
      <c r="AE47" s="310"/>
      <c r="AF47" s="250"/>
      <c r="AG47" s="310"/>
      <c r="AH47" s="250"/>
      <c r="AI47" s="310"/>
      <c r="AJ47" s="250"/>
      <c r="AK47" s="310"/>
      <c r="AL47" s="250"/>
      <c r="AM47" s="310"/>
      <c r="AN47" s="250"/>
      <c r="AO47" s="310"/>
      <c r="AP47" s="250"/>
      <c r="AQ47" s="310"/>
      <c r="AR47" s="250"/>
      <c r="AS47" s="310"/>
      <c r="AT47" s="250"/>
      <c r="AU47" s="572">
        <f t="shared" si="2"/>
        <v>0</v>
      </c>
      <c r="AV47" s="573">
        <f t="shared" si="3"/>
        <v>0</v>
      </c>
    </row>
    <row r="48" spans="1:48" ht="12.75" customHeight="1" thickBot="1">
      <c r="A48" s="24" t="str">
        <f>'t1'!A48</f>
        <v>COLLABORATORE A TEMPO DETERMIN. (b)</v>
      </c>
      <c r="B48" s="167" t="str">
        <f>'t1'!B48</f>
        <v>000096</v>
      </c>
      <c r="C48" s="310"/>
      <c r="D48" s="250"/>
      <c r="E48" s="310"/>
      <c r="F48" s="250"/>
      <c r="G48" s="310"/>
      <c r="H48" s="250"/>
      <c r="I48" s="310"/>
      <c r="J48" s="250"/>
      <c r="K48" s="310"/>
      <c r="L48" s="250"/>
      <c r="M48" s="310"/>
      <c r="N48" s="250"/>
      <c r="O48" s="310"/>
      <c r="P48" s="250"/>
      <c r="Q48" s="310"/>
      <c r="R48" s="250"/>
      <c r="S48" s="310"/>
      <c r="T48" s="250"/>
      <c r="U48" s="310"/>
      <c r="V48" s="250"/>
      <c r="W48" s="310"/>
      <c r="X48" s="250"/>
      <c r="Y48" s="310"/>
      <c r="Z48" s="250"/>
      <c r="AA48" s="310"/>
      <c r="AB48" s="250"/>
      <c r="AC48" s="310"/>
      <c r="AD48" s="250"/>
      <c r="AE48" s="310"/>
      <c r="AF48" s="250"/>
      <c r="AG48" s="310"/>
      <c r="AH48" s="250"/>
      <c r="AI48" s="310"/>
      <c r="AJ48" s="250"/>
      <c r="AK48" s="310"/>
      <c r="AL48" s="250"/>
      <c r="AM48" s="310"/>
      <c r="AN48" s="250"/>
      <c r="AO48" s="310"/>
      <c r="AP48" s="250"/>
      <c r="AQ48" s="310"/>
      <c r="AR48" s="250"/>
      <c r="AS48" s="310"/>
      <c r="AT48" s="250"/>
      <c r="AU48" s="572">
        <f t="shared" si="2"/>
        <v>0</v>
      </c>
      <c r="AV48" s="573">
        <f t="shared" si="3"/>
        <v>0</v>
      </c>
    </row>
    <row r="49" spans="1:48" ht="17.25" customHeight="1" thickBot="1" thickTop="1">
      <c r="A49" s="18" t="s">
        <v>78</v>
      </c>
      <c r="B49" s="169"/>
      <c r="C49" s="574">
        <f aca="true" t="shared" si="4" ref="C49:AV49">SUM(C6:C48)</f>
        <v>0</v>
      </c>
      <c r="D49" s="576">
        <f t="shared" si="4"/>
        <v>0</v>
      </c>
      <c r="E49" s="574">
        <f t="shared" si="4"/>
        <v>0</v>
      </c>
      <c r="F49" s="576">
        <f t="shared" si="4"/>
        <v>0</v>
      </c>
      <c r="G49" s="574">
        <f t="shared" si="4"/>
        <v>0</v>
      </c>
      <c r="H49" s="576">
        <f t="shared" si="4"/>
        <v>0</v>
      </c>
      <c r="I49" s="574">
        <f t="shared" si="4"/>
        <v>0</v>
      </c>
      <c r="J49" s="576">
        <f t="shared" si="4"/>
        <v>0</v>
      </c>
      <c r="K49" s="574">
        <f t="shared" si="4"/>
        <v>0</v>
      </c>
      <c r="L49" s="576">
        <f t="shared" si="4"/>
        <v>0</v>
      </c>
      <c r="M49" s="574">
        <f t="shared" si="4"/>
        <v>0</v>
      </c>
      <c r="N49" s="576">
        <f t="shared" si="4"/>
        <v>0</v>
      </c>
      <c r="O49" s="574">
        <f t="shared" si="4"/>
        <v>0</v>
      </c>
      <c r="P49" s="576">
        <f t="shared" si="4"/>
        <v>0</v>
      </c>
      <c r="Q49" s="574">
        <f t="shared" si="4"/>
        <v>0</v>
      </c>
      <c r="R49" s="576">
        <f t="shared" si="4"/>
        <v>0</v>
      </c>
      <c r="S49" s="574">
        <f t="shared" si="4"/>
        <v>0</v>
      </c>
      <c r="T49" s="576">
        <f t="shared" si="4"/>
        <v>0</v>
      </c>
      <c r="U49" s="574">
        <f t="shared" si="4"/>
        <v>0</v>
      </c>
      <c r="V49" s="576">
        <f t="shared" si="4"/>
        <v>0</v>
      </c>
      <c r="W49" s="574">
        <f t="shared" si="4"/>
        <v>0</v>
      </c>
      <c r="X49" s="576">
        <f t="shared" si="4"/>
        <v>0</v>
      </c>
      <c r="Y49" s="574">
        <f t="shared" si="4"/>
        <v>0</v>
      </c>
      <c r="Z49" s="576">
        <f t="shared" si="4"/>
        <v>0</v>
      </c>
      <c r="AA49" s="574">
        <f t="shared" si="4"/>
        <v>0</v>
      </c>
      <c r="AB49" s="576">
        <f t="shared" si="4"/>
        <v>0</v>
      </c>
      <c r="AC49" s="574">
        <f t="shared" si="4"/>
        <v>0</v>
      </c>
      <c r="AD49" s="576">
        <f t="shared" si="4"/>
        <v>0</v>
      </c>
      <c r="AE49" s="574">
        <f t="shared" si="4"/>
        <v>0</v>
      </c>
      <c r="AF49" s="576">
        <f t="shared" si="4"/>
        <v>0</v>
      </c>
      <c r="AG49" s="574">
        <f t="shared" si="4"/>
        <v>0</v>
      </c>
      <c r="AH49" s="576">
        <f t="shared" si="4"/>
        <v>0</v>
      </c>
      <c r="AI49" s="574">
        <f t="shared" si="4"/>
        <v>0</v>
      </c>
      <c r="AJ49" s="576">
        <f t="shared" si="4"/>
        <v>0</v>
      </c>
      <c r="AK49" s="574">
        <f t="shared" si="4"/>
        <v>0</v>
      </c>
      <c r="AL49" s="576">
        <f t="shared" si="4"/>
        <v>0</v>
      </c>
      <c r="AM49" s="574">
        <f t="shared" si="4"/>
        <v>0</v>
      </c>
      <c r="AN49" s="576">
        <f t="shared" si="4"/>
        <v>0</v>
      </c>
      <c r="AO49" s="574">
        <f t="shared" si="4"/>
        <v>0</v>
      </c>
      <c r="AP49" s="576">
        <f t="shared" si="4"/>
        <v>0</v>
      </c>
      <c r="AQ49" s="574">
        <f t="shared" si="4"/>
        <v>0</v>
      </c>
      <c r="AR49" s="576">
        <f t="shared" si="4"/>
        <v>0</v>
      </c>
      <c r="AS49" s="574">
        <f t="shared" si="4"/>
        <v>0</v>
      </c>
      <c r="AT49" s="576">
        <f t="shared" si="4"/>
        <v>0</v>
      </c>
      <c r="AU49" s="574">
        <f t="shared" si="4"/>
        <v>0</v>
      </c>
      <c r="AV49" s="575">
        <f t="shared" si="4"/>
        <v>0</v>
      </c>
    </row>
    <row r="50" spans="3:27" ht="17.25" customHeight="1">
      <c r="C50" s="26" t="s">
        <v>192</v>
      </c>
      <c r="M50" s="10"/>
      <c r="N50" s="10"/>
      <c r="O50" s="10"/>
      <c r="P50" s="10"/>
      <c r="Q50" s="10"/>
      <c r="R50" s="10"/>
      <c r="S50" s="9"/>
      <c r="T50" s="9"/>
      <c r="AA50" s="26" t="s">
        <v>192</v>
      </c>
    </row>
    <row r="51" spans="3:27" ht="11.25">
      <c r="C51" s="26" t="s">
        <v>448</v>
      </c>
      <c r="AA51" s="26" t="s">
        <v>448</v>
      </c>
    </row>
  </sheetData>
  <sheetProtection password="EA98" sheet="1" objects="1" scenarios="1" formatColumns="0" selectLockedCells="1"/>
  <mergeCells count="6">
    <mergeCell ref="A1:A2"/>
    <mergeCell ref="G4:H4"/>
    <mergeCell ref="S2:Z2"/>
    <mergeCell ref="AO2:AV2"/>
    <mergeCell ref="C1:W1"/>
    <mergeCell ref="AA1:AS1"/>
  </mergeCells>
  <printOptions horizontalCentered="1" verticalCentered="1"/>
  <pageMargins left="0.2" right="0.2" top="0.1968503937007874" bottom="0.17" header="0.22" footer="0.19"/>
  <pageSetup horizontalDpi="300" verticalDpi="300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9">
    <pageSetUpPr fitToPage="1"/>
  </sheetPr>
  <dimension ref="A1:AE53"/>
  <sheetViews>
    <sheetView showGridLines="0" zoomScalePageLayoutView="0" workbookViewId="0" topLeftCell="A1">
      <pane xSplit="2" ySplit="7" topLeftCell="O8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D31" sqref="D31"/>
    </sheetView>
  </sheetViews>
  <sheetFormatPr defaultColWidth="10.66015625" defaultRowHeight="10.5"/>
  <cols>
    <col min="1" max="1" width="38.83203125" style="31" customWidth="1"/>
    <col min="2" max="2" width="22.66015625" style="35" customWidth="1"/>
    <col min="3" max="10" width="11.33203125" style="31" customWidth="1"/>
    <col min="11" max="16384" width="10.66015625" style="31" customWidth="1"/>
  </cols>
  <sheetData>
    <row r="1" spans="1:31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M1" s="50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10" ht="30" customHeight="1" thickBot="1">
      <c r="A2" s="28"/>
      <c r="B2" s="29"/>
      <c r="C2" s="30"/>
      <c r="D2" s="30"/>
      <c r="E2" s="30"/>
      <c r="F2" s="30"/>
      <c r="G2" s="1397"/>
      <c r="H2" s="1397"/>
      <c r="I2" s="1397"/>
      <c r="J2" s="1397"/>
    </row>
    <row r="3" spans="1:28" ht="15.75" customHeight="1" thickBot="1">
      <c r="A3" s="352"/>
      <c r="B3" s="357"/>
      <c r="C3" s="358" t="s">
        <v>273</v>
      </c>
      <c r="D3" s="358"/>
      <c r="E3" s="358"/>
      <c r="F3" s="358"/>
      <c r="G3" s="358"/>
      <c r="H3" s="358"/>
      <c r="I3" s="358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</row>
    <row r="4" spans="1:28" ht="37.5" customHeight="1" thickTop="1">
      <c r="A4" s="32" t="s">
        <v>149</v>
      </c>
      <c r="B4" s="33" t="s">
        <v>74</v>
      </c>
      <c r="C4" s="602" t="s">
        <v>80</v>
      </c>
      <c r="D4" s="603"/>
      <c r="E4" s="1455" t="s">
        <v>628</v>
      </c>
      <c r="F4" s="1456"/>
      <c r="G4" s="1455" t="s">
        <v>631</v>
      </c>
      <c r="H4" s="1456"/>
      <c r="I4" s="1457" t="s">
        <v>633</v>
      </c>
      <c r="J4" s="1431"/>
      <c r="K4" s="1457" t="s">
        <v>634</v>
      </c>
      <c r="L4" s="1431"/>
      <c r="M4" s="1458" t="s">
        <v>637</v>
      </c>
      <c r="N4" s="1431"/>
      <c r="O4" s="1452" t="s">
        <v>638</v>
      </c>
      <c r="P4" s="1431"/>
      <c r="Q4" s="1452" t="s">
        <v>641</v>
      </c>
      <c r="R4" s="1431"/>
      <c r="S4" s="1452" t="s">
        <v>643</v>
      </c>
      <c r="T4" s="1431"/>
      <c r="U4" s="1452" t="s">
        <v>645</v>
      </c>
      <c r="V4" s="1431"/>
      <c r="W4" s="1452" t="s">
        <v>203</v>
      </c>
      <c r="X4" s="1431"/>
      <c r="Y4" s="1452" t="s">
        <v>60</v>
      </c>
      <c r="Z4" s="1431"/>
      <c r="AA4" s="500" t="s">
        <v>78</v>
      </c>
      <c r="AB4" s="499"/>
    </row>
    <row r="5" spans="1:28" ht="11.25">
      <c r="A5" s="32"/>
      <c r="B5" s="33"/>
      <c r="C5" s="1453" t="s">
        <v>356</v>
      </c>
      <c r="D5" s="1454"/>
      <c r="E5" s="1453" t="s">
        <v>629</v>
      </c>
      <c r="F5" s="1454"/>
      <c r="G5" s="1453" t="s">
        <v>630</v>
      </c>
      <c r="H5" s="1454"/>
      <c r="I5" s="1453" t="s">
        <v>635</v>
      </c>
      <c r="J5" s="1454"/>
      <c r="K5" s="1453" t="s">
        <v>636</v>
      </c>
      <c r="L5" s="1454"/>
      <c r="M5" s="1453" t="s">
        <v>639</v>
      </c>
      <c r="N5" s="1454"/>
      <c r="O5" s="1450" t="s">
        <v>640</v>
      </c>
      <c r="P5" s="1451"/>
      <c r="Q5" s="1450" t="s">
        <v>642</v>
      </c>
      <c r="R5" s="1451"/>
      <c r="S5" s="1450" t="s">
        <v>644</v>
      </c>
      <c r="T5" s="1451"/>
      <c r="U5" s="1450" t="s">
        <v>357</v>
      </c>
      <c r="V5" s="1451"/>
      <c r="W5" s="1450" t="s">
        <v>358</v>
      </c>
      <c r="X5" s="1451"/>
      <c r="Y5" s="1450" t="s">
        <v>467</v>
      </c>
      <c r="Z5" s="1451"/>
      <c r="AA5" s="503"/>
      <c r="AB5" s="580"/>
    </row>
    <row r="6" spans="1:28" ht="12" customHeight="1">
      <c r="A6" s="32"/>
      <c r="B6" s="33"/>
      <c r="C6" s="327" t="s">
        <v>76</v>
      </c>
      <c r="D6" s="504" t="s">
        <v>77</v>
      </c>
      <c r="E6" s="327" t="s">
        <v>76</v>
      </c>
      <c r="F6" s="504" t="s">
        <v>77</v>
      </c>
      <c r="G6" s="327" t="s">
        <v>76</v>
      </c>
      <c r="H6" s="504" t="s">
        <v>77</v>
      </c>
      <c r="I6" s="327" t="s">
        <v>76</v>
      </c>
      <c r="J6" s="504" t="s">
        <v>77</v>
      </c>
      <c r="K6" s="327" t="s">
        <v>76</v>
      </c>
      <c r="L6" s="504" t="s">
        <v>77</v>
      </c>
      <c r="M6" s="327" t="s">
        <v>76</v>
      </c>
      <c r="N6" s="504" t="s">
        <v>77</v>
      </c>
      <c r="O6" s="327" t="s">
        <v>76</v>
      </c>
      <c r="P6" s="504" t="s">
        <v>77</v>
      </c>
      <c r="Q6" s="327" t="s">
        <v>76</v>
      </c>
      <c r="R6" s="504" t="s">
        <v>77</v>
      </c>
      <c r="S6" s="327" t="s">
        <v>76</v>
      </c>
      <c r="T6" s="1152" t="s">
        <v>77</v>
      </c>
      <c r="U6" s="327" t="s">
        <v>76</v>
      </c>
      <c r="V6" s="1152" t="s">
        <v>77</v>
      </c>
      <c r="W6" s="327" t="s">
        <v>76</v>
      </c>
      <c r="X6" s="1152" t="s">
        <v>77</v>
      </c>
      <c r="Y6" s="327" t="s">
        <v>76</v>
      </c>
      <c r="Z6" s="1147" t="s">
        <v>77</v>
      </c>
      <c r="AA6" s="327" t="s">
        <v>76</v>
      </c>
      <c r="AB6" s="504" t="s">
        <v>77</v>
      </c>
    </row>
    <row r="7" spans="1:28" s="340" customFormat="1" ht="9" thickBot="1">
      <c r="A7" s="337"/>
      <c r="B7" s="589"/>
      <c r="C7" s="338" t="s">
        <v>81</v>
      </c>
      <c r="D7" s="339" t="s">
        <v>81</v>
      </c>
      <c r="E7" s="338" t="s">
        <v>81</v>
      </c>
      <c r="F7" s="339" t="s">
        <v>81</v>
      </c>
      <c r="G7" s="338" t="s">
        <v>81</v>
      </c>
      <c r="H7" s="339" t="s">
        <v>81</v>
      </c>
      <c r="I7" s="338" t="s">
        <v>81</v>
      </c>
      <c r="J7" s="339" t="s">
        <v>81</v>
      </c>
      <c r="K7" s="338" t="s">
        <v>81</v>
      </c>
      <c r="L7" s="339" t="s">
        <v>81</v>
      </c>
      <c r="M7" s="338" t="s">
        <v>81</v>
      </c>
      <c r="N7" s="339" t="s">
        <v>81</v>
      </c>
      <c r="O7" s="338" t="s">
        <v>81</v>
      </c>
      <c r="P7" s="339" t="s">
        <v>81</v>
      </c>
      <c r="Q7" s="338" t="s">
        <v>81</v>
      </c>
      <c r="R7" s="339" t="s">
        <v>81</v>
      </c>
      <c r="S7" s="338" t="s">
        <v>81</v>
      </c>
      <c r="T7" s="1153" t="s">
        <v>81</v>
      </c>
      <c r="U7" s="338" t="s">
        <v>81</v>
      </c>
      <c r="V7" s="1153" t="s">
        <v>81</v>
      </c>
      <c r="W7" s="338" t="s">
        <v>81</v>
      </c>
      <c r="X7" s="1153" t="s">
        <v>81</v>
      </c>
      <c r="Y7" s="338" t="s">
        <v>81</v>
      </c>
      <c r="Z7" s="1153" t="s">
        <v>81</v>
      </c>
      <c r="AA7" s="1160" t="s">
        <v>81</v>
      </c>
      <c r="AB7" s="685" t="s">
        <v>81</v>
      </c>
    </row>
    <row r="8" spans="1:28" ht="12.75" customHeight="1" thickTop="1">
      <c r="A8" s="25" t="str">
        <f>'t1'!A6</f>
        <v>SEGRETARIO A</v>
      </c>
      <c r="B8" s="257" t="str">
        <f>'t1'!B6</f>
        <v>0D0102</v>
      </c>
      <c r="C8" s="323">
        <v>32</v>
      </c>
      <c r="D8" s="324"/>
      <c r="E8" s="323"/>
      <c r="F8" s="324"/>
      <c r="G8" s="323">
        <v>5</v>
      </c>
      <c r="H8" s="324"/>
      <c r="I8" s="323"/>
      <c r="J8" s="324"/>
      <c r="K8" s="323"/>
      <c r="L8" s="324"/>
      <c r="M8" s="323"/>
      <c r="N8" s="324"/>
      <c r="O8" s="323"/>
      <c r="P8" s="324"/>
      <c r="Q8" s="323"/>
      <c r="R8" s="324"/>
      <c r="S8" s="1158"/>
      <c r="T8" s="1154"/>
      <c r="U8" s="1158"/>
      <c r="V8" s="1154"/>
      <c r="W8" s="1158"/>
      <c r="X8" s="1154"/>
      <c r="Y8" s="1158"/>
      <c r="Z8" s="1148"/>
      <c r="AA8" s="1162">
        <f>SUM(C8,E8,G8,I8,K8,M8,O8,Q8,S8,U8,W8,Y8)</f>
        <v>37</v>
      </c>
      <c r="AB8" s="1163">
        <f>SUM(D8,F8,H8,J8,L8,N8,P8,R8,T8,V8,X8,Z8)</f>
        <v>0</v>
      </c>
    </row>
    <row r="9" spans="1:28" ht="12.75" customHeight="1">
      <c r="A9" s="168" t="str">
        <f>'t1'!A7</f>
        <v>SEGRETARIO B</v>
      </c>
      <c r="B9" s="249" t="str">
        <f>'t1'!B7</f>
        <v>0D0103</v>
      </c>
      <c r="C9" s="325"/>
      <c r="D9" s="326"/>
      <c r="E9" s="325"/>
      <c r="F9" s="326"/>
      <c r="G9" s="325"/>
      <c r="H9" s="326"/>
      <c r="I9" s="325"/>
      <c r="J9" s="326"/>
      <c r="K9" s="325"/>
      <c r="L9" s="326"/>
      <c r="M9" s="325"/>
      <c r="N9" s="326"/>
      <c r="O9" s="325"/>
      <c r="P9" s="326"/>
      <c r="Q9" s="325"/>
      <c r="R9" s="326"/>
      <c r="S9" s="325"/>
      <c r="T9" s="1155"/>
      <c r="U9" s="325"/>
      <c r="V9" s="1155"/>
      <c r="W9" s="325"/>
      <c r="X9" s="1155"/>
      <c r="Y9" s="325"/>
      <c r="Z9" s="1149"/>
      <c r="AA9" s="683">
        <f aca="true" t="shared" si="0" ref="AA9:AA50">SUM(C9,E9,G9,I9,K9,M9,O9,Q9,S9,U9,W9,Y9)</f>
        <v>0</v>
      </c>
      <c r="AB9" s="686">
        <f>SUM(D9,F9,H9,J9,L9,N9,P9,R9,T9,V9,X9,Z9)</f>
        <v>0</v>
      </c>
    </row>
    <row r="10" spans="1:28" ht="12.75" customHeight="1">
      <c r="A10" s="168" t="str">
        <f>'t1'!A8</f>
        <v>SEGRETARIO C</v>
      </c>
      <c r="B10" s="249" t="str">
        <f>'t1'!B8</f>
        <v>0D0485</v>
      </c>
      <c r="C10" s="325"/>
      <c r="D10" s="326"/>
      <c r="E10" s="325"/>
      <c r="F10" s="326"/>
      <c r="G10" s="325"/>
      <c r="H10" s="326"/>
      <c r="I10" s="325"/>
      <c r="J10" s="326"/>
      <c r="K10" s="325"/>
      <c r="L10" s="326"/>
      <c r="M10" s="325"/>
      <c r="N10" s="326"/>
      <c r="O10" s="325"/>
      <c r="P10" s="326"/>
      <c r="Q10" s="325"/>
      <c r="R10" s="326"/>
      <c r="S10" s="325"/>
      <c r="T10" s="1155"/>
      <c r="U10" s="325"/>
      <c r="V10" s="1155"/>
      <c r="W10" s="325"/>
      <c r="X10" s="1155"/>
      <c r="Y10" s="325"/>
      <c r="Z10" s="1149"/>
      <c r="AA10" s="683">
        <f t="shared" si="0"/>
        <v>0</v>
      </c>
      <c r="AB10" s="686">
        <f aca="true" t="shared" si="1" ref="AB10:AB50">SUM(D10,F10,H10,J10,L10,N10,P10,R10,T10,V10,X10,Z10)</f>
        <v>0</v>
      </c>
    </row>
    <row r="11" spans="1:28" ht="12.75" customHeight="1">
      <c r="A11" s="168" t="str">
        <f>'t1'!A9</f>
        <v>SEGRETARIO GENERALE CCIAA</v>
      </c>
      <c r="B11" s="249" t="str">
        <f>'t1'!B9</f>
        <v>0D0104</v>
      </c>
      <c r="C11" s="325"/>
      <c r="D11" s="326"/>
      <c r="E11" s="325"/>
      <c r="F11" s="326"/>
      <c r="G11" s="325"/>
      <c r="H11" s="326"/>
      <c r="I11" s="325"/>
      <c r="J11" s="326"/>
      <c r="K11" s="325"/>
      <c r="L11" s="326"/>
      <c r="M11" s="325"/>
      <c r="N11" s="326"/>
      <c r="O11" s="325"/>
      <c r="P11" s="326"/>
      <c r="Q11" s="325"/>
      <c r="R11" s="326"/>
      <c r="S11" s="325"/>
      <c r="T11" s="1155"/>
      <c r="U11" s="325"/>
      <c r="V11" s="1155"/>
      <c r="W11" s="325"/>
      <c r="X11" s="1155"/>
      <c r="Y11" s="325"/>
      <c r="Z11" s="1149"/>
      <c r="AA11" s="683">
        <f t="shared" si="0"/>
        <v>0</v>
      </c>
      <c r="AB11" s="686">
        <f t="shared" si="1"/>
        <v>0</v>
      </c>
    </row>
    <row r="12" spans="1:28" ht="12.75" customHeight="1">
      <c r="A12" s="168" t="str">
        <f>'t1'!A10</f>
        <v>DIRETTORE  GENERALE</v>
      </c>
      <c r="B12" s="249" t="str">
        <f>'t1'!B10</f>
        <v>0D0097</v>
      </c>
      <c r="C12" s="325"/>
      <c r="D12" s="326"/>
      <c r="E12" s="325"/>
      <c r="F12" s="326"/>
      <c r="G12" s="325"/>
      <c r="H12" s="326"/>
      <c r="I12" s="325"/>
      <c r="J12" s="326"/>
      <c r="K12" s="325"/>
      <c r="L12" s="326"/>
      <c r="M12" s="325"/>
      <c r="N12" s="326"/>
      <c r="O12" s="325"/>
      <c r="P12" s="326"/>
      <c r="Q12" s="325"/>
      <c r="R12" s="326"/>
      <c r="S12" s="325"/>
      <c r="T12" s="1155"/>
      <c r="U12" s="325"/>
      <c r="V12" s="1155"/>
      <c r="W12" s="325"/>
      <c r="X12" s="1155"/>
      <c r="Y12" s="325"/>
      <c r="Z12" s="1149"/>
      <c r="AA12" s="683">
        <f t="shared" si="0"/>
        <v>0</v>
      </c>
      <c r="AB12" s="686">
        <f t="shared" si="1"/>
        <v>0</v>
      </c>
    </row>
    <row r="13" spans="1:28" ht="12.75" customHeight="1">
      <c r="A13" s="168" t="str">
        <f>'t1'!A11</f>
        <v>DIRIGENTE FUORI D.O.</v>
      </c>
      <c r="B13" s="249" t="str">
        <f>'t1'!B11</f>
        <v>0D0098</v>
      </c>
      <c r="C13" s="325"/>
      <c r="D13" s="326"/>
      <c r="E13" s="325"/>
      <c r="F13" s="326"/>
      <c r="G13" s="325"/>
      <c r="H13" s="326"/>
      <c r="I13" s="325"/>
      <c r="J13" s="326"/>
      <c r="K13" s="325"/>
      <c r="L13" s="326"/>
      <c r="M13" s="325"/>
      <c r="N13" s="326"/>
      <c r="O13" s="325"/>
      <c r="P13" s="326"/>
      <c r="Q13" s="325"/>
      <c r="R13" s="326"/>
      <c r="S13" s="325"/>
      <c r="T13" s="1155"/>
      <c r="U13" s="325"/>
      <c r="V13" s="1155"/>
      <c r="W13" s="325"/>
      <c r="X13" s="1155"/>
      <c r="Y13" s="325"/>
      <c r="Z13" s="1149"/>
      <c r="AA13" s="683">
        <f t="shared" si="0"/>
        <v>0</v>
      </c>
      <c r="AB13" s="686">
        <f t="shared" si="1"/>
        <v>0</v>
      </c>
    </row>
    <row r="14" spans="1:28" ht="12.75" customHeight="1">
      <c r="A14" s="168" t="str">
        <f>'t1'!A12</f>
        <v>ALTE SPECIALIZZ. FUORI D.O.</v>
      </c>
      <c r="B14" s="249" t="str">
        <f>'t1'!B12</f>
        <v>0D0095</v>
      </c>
      <c r="C14" s="325"/>
      <c r="D14" s="326"/>
      <c r="E14" s="325"/>
      <c r="F14" s="326"/>
      <c r="G14" s="325"/>
      <c r="H14" s="326"/>
      <c r="I14" s="325"/>
      <c r="J14" s="326"/>
      <c r="K14" s="325"/>
      <c r="L14" s="326"/>
      <c r="M14" s="325"/>
      <c r="N14" s="326"/>
      <c r="O14" s="325"/>
      <c r="P14" s="326"/>
      <c r="Q14" s="325"/>
      <c r="R14" s="326"/>
      <c r="S14" s="325"/>
      <c r="T14" s="1155"/>
      <c r="U14" s="325"/>
      <c r="V14" s="1155"/>
      <c r="W14" s="325"/>
      <c r="X14" s="1155"/>
      <c r="Y14" s="325"/>
      <c r="Z14" s="1149"/>
      <c r="AA14" s="683">
        <f t="shared" si="0"/>
        <v>0</v>
      </c>
      <c r="AB14" s="686">
        <f t="shared" si="1"/>
        <v>0</v>
      </c>
    </row>
    <row r="15" spans="1:28" ht="12.75" customHeight="1">
      <c r="A15" s="168" t="str">
        <f>'t1'!A13</f>
        <v>QUALIFICA DIRIGENZIALE TEMPO INDET.</v>
      </c>
      <c r="B15" s="249" t="str">
        <f>'t1'!B13</f>
        <v>0D0100</v>
      </c>
      <c r="C15" s="325"/>
      <c r="D15" s="326">
        <v>28</v>
      </c>
      <c r="E15" s="325"/>
      <c r="F15" s="326"/>
      <c r="G15" s="325"/>
      <c r="H15" s="326"/>
      <c r="I15" s="325"/>
      <c r="J15" s="326"/>
      <c r="K15" s="325"/>
      <c r="L15" s="326"/>
      <c r="M15" s="325"/>
      <c r="N15" s="326"/>
      <c r="O15" s="325"/>
      <c r="P15" s="326"/>
      <c r="Q15" s="325"/>
      <c r="R15" s="326"/>
      <c r="S15" s="325"/>
      <c r="T15" s="1155"/>
      <c r="U15" s="325"/>
      <c r="V15" s="1155"/>
      <c r="W15" s="325"/>
      <c r="X15" s="1155"/>
      <c r="Y15" s="325"/>
      <c r="Z15" s="1149"/>
      <c r="AA15" s="683">
        <f t="shared" si="0"/>
        <v>0</v>
      </c>
      <c r="AB15" s="686">
        <f t="shared" si="1"/>
        <v>28</v>
      </c>
    </row>
    <row r="16" spans="1:28" ht="12.75" customHeight="1">
      <c r="A16" s="168" t="str">
        <f>'t1'!A14</f>
        <v>QUALIFICA DIRIGENZIALE TEMPO DETER.</v>
      </c>
      <c r="B16" s="249" t="str">
        <f>'t1'!B14</f>
        <v>0D0099</v>
      </c>
      <c r="C16" s="325">
        <v>124</v>
      </c>
      <c r="D16" s="326"/>
      <c r="E16" s="325"/>
      <c r="F16" s="326"/>
      <c r="G16" s="325"/>
      <c r="H16" s="326"/>
      <c r="I16" s="325"/>
      <c r="J16" s="326"/>
      <c r="K16" s="325"/>
      <c r="L16" s="326"/>
      <c r="M16" s="325"/>
      <c r="N16" s="326"/>
      <c r="O16" s="325"/>
      <c r="P16" s="326"/>
      <c r="Q16" s="325"/>
      <c r="R16" s="326"/>
      <c r="S16" s="325"/>
      <c r="T16" s="1155"/>
      <c r="U16" s="325"/>
      <c r="V16" s="1155"/>
      <c r="W16" s="325"/>
      <c r="X16" s="1155"/>
      <c r="Y16" s="325"/>
      <c r="Z16" s="1149"/>
      <c r="AA16" s="683">
        <f t="shared" si="0"/>
        <v>124</v>
      </c>
      <c r="AB16" s="686">
        <f t="shared" si="1"/>
        <v>0</v>
      </c>
    </row>
    <row r="17" spans="1:28" ht="12.75" customHeight="1">
      <c r="A17" s="168" t="str">
        <f>'t1'!A15</f>
        <v>POSIZ. ECON. D6 - PROFILI ACCESSO D3</v>
      </c>
      <c r="B17" s="249" t="str">
        <f>'t1'!B15</f>
        <v>0D6A00</v>
      </c>
      <c r="C17" s="325">
        <v>167</v>
      </c>
      <c r="D17" s="326">
        <v>91</v>
      </c>
      <c r="E17" s="325">
        <v>18</v>
      </c>
      <c r="F17" s="326">
        <v>9</v>
      </c>
      <c r="G17" s="325">
        <v>12</v>
      </c>
      <c r="H17" s="326">
        <v>13</v>
      </c>
      <c r="I17" s="325"/>
      <c r="J17" s="326"/>
      <c r="K17" s="325"/>
      <c r="L17" s="326"/>
      <c r="M17" s="325"/>
      <c r="N17" s="326"/>
      <c r="O17" s="325"/>
      <c r="P17" s="326"/>
      <c r="Q17" s="325"/>
      <c r="R17" s="326"/>
      <c r="S17" s="325"/>
      <c r="T17" s="1155"/>
      <c r="U17" s="325"/>
      <c r="V17" s="1155"/>
      <c r="W17" s="325"/>
      <c r="X17" s="1155"/>
      <c r="Y17" s="325"/>
      <c r="Z17" s="1149"/>
      <c r="AA17" s="683">
        <f t="shared" si="0"/>
        <v>197</v>
      </c>
      <c r="AB17" s="686">
        <f t="shared" si="1"/>
        <v>113</v>
      </c>
    </row>
    <row r="18" spans="1:28" ht="12.75" customHeight="1">
      <c r="A18" s="168" t="str">
        <f>'t1'!A16</f>
        <v>POSIZ. ECON. D6 - PROFILO ACCESSO D1</v>
      </c>
      <c r="B18" s="249" t="str">
        <f>'t1'!B16</f>
        <v>0D6000</v>
      </c>
      <c r="C18" s="325"/>
      <c r="D18" s="326"/>
      <c r="E18" s="325"/>
      <c r="F18" s="326"/>
      <c r="G18" s="325"/>
      <c r="H18" s="326"/>
      <c r="I18" s="325"/>
      <c r="J18" s="326"/>
      <c r="K18" s="325"/>
      <c r="L18" s="326"/>
      <c r="M18" s="325"/>
      <c r="N18" s="326"/>
      <c r="O18" s="325"/>
      <c r="P18" s="326"/>
      <c r="Q18" s="325"/>
      <c r="R18" s="326"/>
      <c r="S18" s="325"/>
      <c r="T18" s="1155"/>
      <c r="U18" s="325"/>
      <c r="V18" s="1155"/>
      <c r="W18" s="325"/>
      <c r="X18" s="1155"/>
      <c r="Y18" s="325"/>
      <c r="Z18" s="1149"/>
      <c r="AA18" s="683">
        <f t="shared" si="0"/>
        <v>0</v>
      </c>
      <c r="AB18" s="686">
        <f t="shared" si="1"/>
        <v>0</v>
      </c>
    </row>
    <row r="19" spans="1:28" ht="12.75" customHeight="1">
      <c r="A19" s="168" t="str">
        <f>'t1'!A17</f>
        <v>POSIZ.ECON. D5 PROFILI ACCESSO D3</v>
      </c>
      <c r="B19" s="249" t="str">
        <f>'t1'!B17</f>
        <v>052486</v>
      </c>
      <c r="C19" s="325">
        <v>341</v>
      </c>
      <c r="D19" s="326">
        <v>51</v>
      </c>
      <c r="E19" s="325">
        <v>11</v>
      </c>
      <c r="F19" s="326">
        <v>21</v>
      </c>
      <c r="G19" s="325">
        <v>13</v>
      </c>
      <c r="H19" s="326">
        <v>35</v>
      </c>
      <c r="I19" s="325"/>
      <c r="J19" s="326"/>
      <c r="K19" s="325"/>
      <c r="L19" s="326"/>
      <c r="M19" s="325"/>
      <c r="N19" s="326">
        <v>15</v>
      </c>
      <c r="O19" s="325"/>
      <c r="P19" s="326">
        <v>18</v>
      </c>
      <c r="Q19" s="325"/>
      <c r="R19" s="326">
        <v>6</v>
      </c>
      <c r="S19" s="325">
        <v>3</v>
      </c>
      <c r="T19" s="1155">
        <v>5</v>
      </c>
      <c r="U19" s="325"/>
      <c r="V19" s="1155"/>
      <c r="W19" s="325"/>
      <c r="X19" s="1155"/>
      <c r="Y19" s="325"/>
      <c r="Z19" s="1149"/>
      <c r="AA19" s="683">
        <f t="shared" si="0"/>
        <v>368</v>
      </c>
      <c r="AB19" s="686">
        <f t="shared" si="1"/>
        <v>151</v>
      </c>
    </row>
    <row r="20" spans="1:28" ht="12.75" customHeight="1">
      <c r="A20" s="168" t="str">
        <f>'t1'!A18</f>
        <v>POSIZ.ECON. D5 PROFILI ACCESSO D1</v>
      </c>
      <c r="B20" s="249" t="str">
        <f>'t1'!B18</f>
        <v>052487</v>
      </c>
      <c r="C20" s="325">
        <v>37</v>
      </c>
      <c r="D20" s="326"/>
      <c r="E20" s="325">
        <v>33</v>
      </c>
      <c r="F20" s="326"/>
      <c r="G20" s="325">
        <v>41</v>
      </c>
      <c r="H20" s="326"/>
      <c r="I20" s="325"/>
      <c r="J20" s="326"/>
      <c r="K20" s="325"/>
      <c r="L20" s="326"/>
      <c r="M20" s="325"/>
      <c r="N20" s="326"/>
      <c r="O20" s="325"/>
      <c r="P20" s="326"/>
      <c r="Q20" s="325"/>
      <c r="R20" s="326"/>
      <c r="S20" s="325"/>
      <c r="T20" s="1155"/>
      <c r="U20" s="325"/>
      <c r="V20" s="1155"/>
      <c r="W20" s="325"/>
      <c r="X20" s="1155"/>
      <c r="Y20" s="325"/>
      <c r="Z20" s="1149"/>
      <c r="AA20" s="683">
        <f t="shared" si="0"/>
        <v>111</v>
      </c>
      <c r="AB20" s="686">
        <f t="shared" si="1"/>
        <v>0</v>
      </c>
    </row>
    <row r="21" spans="1:28" ht="12.75" customHeight="1">
      <c r="A21" s="168" t="str">
        <f>'t1'!A19</f>
        <v>POSIZ.ECON. D4 PROFILI ACCESSO D3</v>
      </c>
      <c r="B21" s="249" t="str">
        <f>'t1'!B19</f>
        <v>051488</v>
      </c>
      <c r="C21" s="325">
        <v>132</v>
      </c>
      <c r="D21" s="326">
        <v>141</v>
      </c>
      <c r="E21" s="325">
        <v>72</v>
      </c>
      <c r="F21" s="326">
        <v>64</v>
      </c>
      <c r="G21" s="325">
        <v>88</v>
      </c>
      <c r="H21" s="326">
        <v>47</v>
      </c>
      <c r="I21" s="325"/>
      <c r="J21" s="326">
        <v>21</v>
      </c>
      <c r="K21" s="325"/>
      <c r="L21" s="326">
        <v>21</v>
      </c>
      <c r="M21" s="325"/>
      <c r="N21" s="326"/>
      <c r="O21" s="325"/>
      <c r="P21" s="326"/>
      <c r="Q21" s="325"/>
      <c r="R21" s="326">
        <v>16</v>
      </c>
      <c r="S21" s="325"/>
      <c r="T21" s="1155">
        <v>15</v>
      </c>
      <c r="U21" s="325"/>
      <c r="V21" s="1155"/>
      <c r="W21" s="325"/>
      <c r="X21" s="1155"/>
      <c r="Y21" s="325"/>
      <c r="Z21" s="1149"/>
      <c r="AA21" s="683">
        <f t="shared" si="0"/>
        <v>292</v>
      </c>
      <c r="AB21" s="686">
        <f t="shared" si="1"/>
        <v>325</v>
      </c>
    </row>
    <row r="22" spans="1:28" ht="12.75" customHeight="1">
      <c r="A22" s="168" t="str">
        <f>'t1'!A20</f>
        <v>POSIZ.ECON. D4 PROFILI ACCESSO D1</v>
      </c>
      <c r="B22" s="249" t="str">
        <f>'t1'!B20</f>
        <v>051489</v>
      </c>
      <c r="C22" s="325">
        <v>102</v>
      </c>
      <c r="D22" s="326"/>
      <c r="E22" s="325">
        <v>15</v>
      </c>
      <c r="F22" s="326">
        <v>28</v>
      </c>
      <c r="G22" s="325">
        <v>17</v>
      </c>
      <c r="H22" s="326">
        <v>32</v>
      </c>
      <c r="I22" s="325"/>
      <c r="J22" s="326"/>
      <c r="K22" s="325"/>
      <c r="L22" s="326"/>
      <c r="M22" s="325"/>
      <c r="N22" s="326"/>
      <c r="O22" s="325"/>
      <c r="P22" s="326"/>
      <c r="Q22" s="325"/>
      <c r="R22" s="326"/>
      <c r="S22" s="325"/>
      <c r="T22" s="1155"/>
      <c r="U22" s="325"/>
      <c r="V22" s="1155"/>
      <c r="W22" s="325"/>
      <c r="X22" s="1155"/>
      <c r="Y22" s="325"/>
      <c r="Z22" s="1149"/>
      <c r="AA22" s="683">
        <f t="shared" si="0"/>
        <v>134</v>
      </c>
      <c r="AB22" s="686">
        <f t="shared" si="1"/>
        <v>60</v>
      </c>
    </row>
    <row r="23" spans="1:28" ht="12.75" customHeight="1">
      <c r="A23" s="168" t="str">
        <f>'t1'!A21</f>
        <v>POSIZIONE ECONOMICA DI ACCESSO D3</v>
      </c>
      <c r="B23" s="249" t="str">
        <f>'t1'!B21</f>
        <v>058000</v>
      </c>
      <c r="C23" s="325">
        <v>61</v>
      </c>
      <c r="D23" s="326">
        <v>32</v>
      </c>
      <c r="E23" s="325">
        <v>12</v>
      </c>
      <c r="F23" s="326">
        <v>15</v>
      </c>
      <c r="G23" s="325">
        <v>11</v>
      </c>
      <c r="H23" s="326">
        <v>17</v>
      </c>
      <c r="I23" s="325"/>
      <c r="J23" s="326"/>
      <c r="K23" s="325"/>
      <c r="L23" s="326"/>
      <c r="M23" s="325"/>
      <c r="N23" s="326"/>
      <c r="O23" s="325"/>
      <c r="P23" s="326"/>
      <c r="Q23" s="325"/>
      <c r="R23" s="326"/>
      <c r="S23" s="325"/>
      <c r="T23" s="1155"/>
      <c r="U23" s="325"/>
      <c r="V23" s="1155"/>
      <c r="W23" s="325"/>
      <c r="X23" s="1155"/>
      <c r="Y23" s="325"/>
      <c r="Z23" s="1149"/>
      <c r="AA23" s="683">
        <f t="shared" si="0"/>
        <v>84</v>
      </c>
      <c r="AB23" s="686">
        <f t="shared" si="1"/>
        <v>64</v>
      </c>
    </row>
    <row r="24" spans="1:28" ht="12.75" customHeight="1">
      <c r="A24" s="168" t="str">
        <f>'t1'!A22</f>
        <v>POSIZIONE ECONOMICA D3</v>
      </c>
      <c r="B24" s="249" t="str">
        <f>'t1'!B22</f>
        <v>050000</v>
      </c>
      <c r="C24" s="325">
        <v>221</v>
      </c>
      <c r="D24" s="326">
        <v>183</v>
      </c>
      <c r="E24" s="325">
        <v>45</v>
      </c>
      <c r="F24" s="326">
        <v>21</v>
      </c>
      <c r="G24" s="325">
        <v>41</v>
      </c>
      <c r="H24" s="326">
        <v>31</v>
      </c>
      <c r="I24" s="325"/>
      <c r="J24" s="326"/>
      <c r="K24" s="325"/>
      <c r="L24" s="326"/>
      <c r="M24" s="325"/>
      <c r="N24" s="326"/>
      <c r="O24" s="325"/>
      <c r="P24" s="326"/>
      <c r="Q24" s="325"/>
      <c r="R24" s="326"/>
      <c r="S24" s="325"/>
      <c r="T24" s="1155"/>
      <c r="U24" s="325"/>
      <c r="V24" s="1155"/>
      <c r="W24" s="325"/>
      <c r="X24" s="1155"/>
      <c r="Y24" s="325"/>
      <c r="Z24" s="1149"/>
      <c r="AA24" s="683">
        <f t="shared" si="0"/>
        <v>307</v>
      </c>
      <c r="AB24" s="686">
        <f t="shared" si="1"/>
        <v>235</v>
      </c>
    </row>
    <row r="25" spans="1:28" ht="12.75" customHeight="1">
      <c r="A25" s="168" t="str">
        <f>'t1'!A23</f>
        <v>POSIZIONE ECONOMICA D2</v>
      </c>
      <c r="B25" s="249" t="str">
        <f>'t1'!B23</f>
        <v>049000</v>
      </c>
      <c r="C25" s="325">
        <v>410</v>
      </c>
      <c r="D25" s="326">
        <v>10</v>
      </c>
      <c r="E25" s="325">
        <v>132</v>
      </c>
      <c r="F25" s="326">
        <v>37</v>
      </c>
      <c r="G25" s="325">
        <v>125</v>
      </c>
      <c r="H25" s="326">
        <v>54</v>
      </c>
      <c r="I25" s="325">
        <v>18</v>
      </c>
      <c r="J25" s="326"/>
      <c r="K25" s="325">
        <v>18</v>
      </c>
      <c r="L25" s="326"/>
      <c r="M25" s="325"/>
      <c r="N25" s="326"/>
      <c r="O25" s="325"/>
      <c r="P25" s="326"/>
      <c r="Q25" s="325">
        <v>5</v>
      </c>
      <c r="R25" s="326">
        <v>7</v>
      </c>
      <c r="S25" s="325">
        <v>18</v>
      </c>
      <c r="T25" s="1155"/>
      <c r="U25" s="325"/>
      <c r="V25" s="1155"/>
      <c r="W25" s="325"/>
      <c r="X25" s="1155"/>
      <c r="Y25" s="325"/>
      <c r="Z25" s="1149"/>
      <c r="AA25" s="683">
        <f t="shared" si="0"/>
        <v>726</v>
      </c>
      <c r="AB25" s="686">
        <f t="shared" si="1"/>
        <v>108</v>
      </c>
    </row>
    <row r="26" spans="1:28" ht="12.75" customHeight="1">
      <c r="A26" s="168" t="str">
        <f>'t1'!A24</f>
        <v>POSIZIONE ECONOMICA DI ACCESSO D1</v>
      </c>
      <c r="B26" s="249" t="str">
        <f>'t1'!B24</f>
        <v>057000</v>
      </c>
      <c r="C26" s="325">
        <v>71</v>
      </c>
      <c r="D26" s="326">
        <v>38</v>
      </c>
      <c r="E26" s="325"/>
      <c r="F26" s="326">
        <v>11</v>
      </c>
      <c r="G26" s="325"/>
      <c r="H26" s="326">
        <v>22</v>
      </c>
      <c r="I26" s="325"/>
      <c r="J26" s="326"/>
      <c r="K26" s="325"/>
      <c r="L26" s="326"/>
      <c r="M26" s="325"/>
      <c r="N26" s="326"/>
      <c r="O26" s="325"/>
      <c r="P26" s="326"/>
      <c r="Q26" s="325"/>
      <c r="R26" s="326"/>
      <c r="S26" s="325"/>
      <c r="T26" s="1155"/>
      <c r="U26" s="325"/>
      <c r="V26" s="1155"/>
      <c r="W26" s="325"/>
      <c r="X26" s="1155"/>
      <c r="Y26" s="325"/>
      <c r="Z26" s="1149"/>
      <c r="AA26" s="683">
        <f t="shared" si="0"/>
        <v>71</v>
      </c>
      <c r="AB26" s="686">
        <f t="shared" si="1"/>
        <v>71</v>
      </c>
    </row>
    <row r="27" spans="1:28" ht="12.75" customHeight="1">
      <c r="A27" s="168" t="str">
        <f>'t1'!A25</f>
        <v>POSIZIONE ECONOMICA C5</v>
      </c>
      <c r="B27" s="249" t="str">
        <f>'t1'!B25</f>
        <v>046000</v>
      </c>
      <c r="C27" s="325">
        <v>131</v>
      </c>
      <c r="D27" s="326">
        <v>65</v>
      </c>
      <c r="E27" s="325">
        <v>23</v>
      </c>
      <c r="F27" s="326">
        <v>18</v>
      </c>
      <c r="G27" s="325">
        <v>19</v>
      </c>
      <c r="H27" s="326">
        <v>12</v>
      </c>
      <c r="I27" s="325"/>
      <c r="J27" s="326"/>
      <c r="K27" s="325"/>
      <c r="L27" s="326"/>
      <c r="M27" s="325"/>
      <c r="N27" s="326"/>
      <c r="O27" s="325"/>
      <c r="P27" s="326"/>
      <c r="Q27" s="325"/>
      <c r="R27" s="326"/>
      <c r="S27" s="325"/>
      <c r="T27" s="1155"/>
      <c r="U27" s="325"/>
      <c r="V27" s="1155"/>
      <c r="W27" s="325"/>
      <c r="X27" s="1155"/>
      <c r="Y27" s="325"/>
      <c r="Z27" s="1149"/>
      <c r="AA27" s="683">
        <f t="shared" si="0"/>
        <v>173</v>
      </c>
      <c r="AB27" s="686">
        <f t="shared" si="1"/>
        <v>95</v>
      </c>
    </row>
    <row r="28" spans="1:28" ht="12.75" customHeight="1">
      <c r="A28" s="168" t="str">
        <f>'t1'!A26</f>
        <v>POSIZIONE ECONOMICA C4</v>
      </c>
      <c r="B28" s="249" t="str">
        <f>'t1'!B26</f>
        <v>045000</v>
      </c>
      <c r="C28" s="325">
        <v>515</v>
      </c>
      <c r="D28" s="326">
        <v>130</v>
      </c>
      <c r="E28" s="325">
        <v>85</v>
      </c>
      <c r="F28" s="326">
        <v>32</v>
      </c>
      <c r="G28" s="325">
        <v>117</v>
      </c>
      <c r="H28" s="326">
        <v>74</v>
      </c>
      <c r="I28" s="325">
        <v>41</v>
      </c>
      <c r="J28" s="326"/>
      <c r="K28" s="325">
        <v>35</v>
      </c>
      <c r="L28" s="326"/>
      <c r="M28" s="325"/>
      <c r="N28" s="326"/>
      <c r="O28" s="325"/>
      <c r="P28" s="326"/>
      <c r="Q28" s="325"/>
      <c r="R28" s="326"/>
      <c r="S28" s="325"/>
      <c r="T28" s="1155"/>
      <c r="U28" s="325"/>
      <c r="V28" s="1155"/>
      <c r="W28" s="325"/>
      <c r="X28" s="1155"/>
      <c r="Y28" s="325"/>
      <c r="Z28" s="1149"/>
      <c r="AA28" s="683">
        <f t="shared" si="0"/>
        <v>793</v>
      </c>
      <c r="AB28" s="686">
        <f t="shared" si="1"/>
        <v>236</v>
      </c>
    </row>
    <row r="29" spans="1:28" ht="12.75" customHeight="1">
      <c r="A29" s="168" t="str">
        <f>'t1'!A27</f>
        <v>POSIZIONE ECONOMICA C3</v>
      </c>
      <c r="B29" s="249" t="str">
        <f>'t1'!B27</f>
        <v>043000</v>
      </c>
      <c r="C29" s="325">
        <v>465</v>
      </c>
      <c r="D29" s="326">
        <v>176</v>
      </c>
      <c r="E29" s="325">
        <v>115</v>
      </c>
      <c r="F29" s="326">
        <v>61</v>
      </c>
      <c r="G29" s="325">
        <v>135</v>
      </c>
      <c r="H29" s="326">
        <v>81</v>
      </c>
      <c r="I29" s="325">
        <v>52</v>
      </c>
      <c r="J29" s="326">
        <v>18</v>
      </c>
      <c r="K29" s="325">
        <v>50</v>
      </c>
      <c r="L29" s="326">
        <v>18</v>
      </c>
      <c r="M29" s="325"/>
      <c r="N29" s="326"/>
      <c r="O29" s="325"/>
      <c r="P29" s="326"/>
      <c r="Q29" s="325"/>
      <c r="R29" s="326"/>
      <c r="S29" s="325"/>
      <c r="T29" s="1155"/>
      <c r="U29" s="325"/>
      <c r="V29" s="1155"/>
      <c r="W29" s="325"/>
      <c r="X29" s="1155"/>
      <c r="Y29" s="325"/>
      <c r="Z29" s="1149"/>
      <c r="AA29" s="683">
        <f t="shared" si="0"/>
        <v>817</v>
      </c>
      <c r="AB29" s="686">
        <f t="shared" si="1"/>
        <v>354</v>
      </c>
    </row>
    <row r="30" spans="1:28" ht="12.75" customHeight="1">
      <c r="A30" s="168" t="str">
        <f>'t1'!A28</f>
        <v>POSIZIONE ECONOMICA C2</v>
      </c>
      <c r="B30" s="249" t="str">
        <f>'t1'!B28</f>
        <v>042000</v>
      </c>
      <c r="C30" s="325">
        <v>373</v>
      </c>
      <c r="D30" s="326">
        <v>175</v>
      </c>
      <c r="E30" s="325">
        <v>84</v>
      </c>
      <c r="F30" s="326">
        <v>42</v>
      </c>
      <c r="G30" s="325">
        <v>119</v>
      </c>
      <c r="H30" s="326">
        <v>43</v>
      </c>
      <c r="I30" s="325">
        <v>41</v>
      </c>
      <c r="J30" s="326"/>
      <c r="K30" s="325">
        <v>48</v>
      </c>
      <c r="L30" s="326"/>
      <c r="M30" s="325">
        <v>70</v>
      </c>
      <c r="N30" s="326"/>
      <c r="O30" s="325">
        <v>103</v>
      </c>
      <c r="P30" s="326"/>
      <c r="Q30" s="325"/>
      <c r="R30" s="326"/>
      <c r="S30" s="325"/>
      <c r="T30" s="1155"/>
      <c r="U30" s="325"/>
      <c r="V30" s="1155"/>
      <c r="W30" s="325"/>
      <c r="X30" s="1155"/>
      <c r="Y30" s="325"/>
      <c r="Z30" s="1149"/>
      <c r="AA30" s="683">
        <f t="shared" si="0"/>
        <v>838</v>
      </c>
      <c r="AB30" s="686">
        <f t="shared" si="1"/>
        <v>260</v>
      </c>
    </row>
    <row r="31" spans="1:28" ht="12.75" customHeight="1">
      <c r="A31" s="168" t="str">
        <f>'t1'!A29</f>
        <v>POSIZIONE ECONOMICA DI ACCESSO C1</v>
      </c>
      <c r="B31" s="249" t="str">
        <f>'t1'!B29</f>
        <v>056000</v>
      </c>
      <c r="C31" s="325">
        <v>13</v>
      </c>
      <c r="D31" s="326"/>
      <c r="E31" s="325"/>
      <c r="F31" s="326"/>
      <c r="G31" s="325"/>
      <c r="H31" s="326"/>
      <c r="I31" s="325"/>
      <c r="J31" s="326"/>
      <c r="K31" s="325"/>
      <c r="L31" s="326"/>
      <c r="M31" s="325"/>
      <c r="N31" s="326"/>
      <c r="O31" s="325"/>
      <c r="P31" s="326"/>
      <c r="Q31" s="325"/>
      <c r="R31" s="326"/>
      <c r="S31" s="325"/>
      <c r="T31" s="1155"/>
      <c r="U31" s="325"/>
      <c r="V31" s="1155"/>
      <c r="W31" s="325"/>
      <c r="X31" s="1155"/>
      <c r="Y31" s="325"/>
      <c r="Z31" s="1149"/>
      <c r="AA31" s="683">
        <f t="shared" si="0"/>
        <v>13</v>
      </c>
      <c r="AB31" s="686">
        <f t="shared" si="1"/>
        <v>0</v>
      </c>
    </row>
    <row r="32" spans="1:28" ht="12.75" customHeight="1">
      <c r="A32" s="168" t="str">
        <f>'t1'!A30</f>
        <v>POSIZ. ECON. B7 - PROFILO ACCESSO B3</v>
      </c>
      <c r="B32" s="249" t="str">
        <f>'t1'!B30</f>
        <v>0B7A00</v>
      </c>
      <c r="C32" s="325"/>
      <c r="D32" s="326"/>
      <c r="E32" s="325"/>
      <c r="F32" s="326"/>
      <c r="G32" s="325"/>
      <c r="H32" s="326"/>
      <c r="I32" s="325"/>
      <c r="J32" s="326"/>
      <c r="K32" s="325"/>
      <c r="L32" s="326"/>
      <c r="M32" s="325"/>
      <c r="N32" s="326"/>
      <c r="O32" s="325"/>
      <c r="P32" s="326"/>
      <c r="Q32" s="325"/>
      <c r="R32" s="326"/>
      <c r="S32" s="325"/>
      <c r="T32" s="1155"/>
      <c r="U32" s="325"/>
      <c r="V32" s="1155"/>
      <c r="W32" s="325"/>
      <c r="X32" s="1155"/>
      <c r="Y32" s="325"/>
      <c r="Z32" s="1149"/>
      <c r="AA32" s="683">
        <f t="shared" si="0"/>
        <v>0</v>
      </c>
      <c r="AB32" s="686">
        <f t="shared" si="1"/>
        <v>0</v>
      </c>
    </row>
    <row r="33" spans="1:28" ht="12.75" customHeight="1">
      <c r="A33" s="168" t="str">
        <f>'t1'!A31</f>
        <v>POSIZ. ECON. B7 - PROFILO  ACCESSO B1</v>
      </c>
      <c r="B33" s="249" t="str">
        <f>'t1'!B31</f>
        <v>0B7000</v>
      </c>
      <c r="C33" s="325"/>
      <c r="D33" s="326"/>
      <c r="E33" s="325"/>
      <c r="F33" s="326"/>
      <c r="G33" s="325"/>
      <c r="H33" s="326"/>
      <c r="I33" s="325"/>
      <c r="J33" s="326"/>
      <c r="K33" s="325"/>
      <c r="L33" s="326"/>
      <c r="M33" s="325"/>
      <c r="N33" s="326"/>
      <c r="O33" s="325"/>
      <c r="P33" s="326"/>
      <c r="Q33" s="325"/>
      <c r="R33" s="326"/>
      <c r="S33" s="325"/>
      <c r="T33" s="1155"/>
      <c r="U33" s="325"/>
      <c r="V33" s="1155"/>
      <c r="W33" s="325"/>
      <c r="X33" s="1155"/>
      <c r="Y33" s="325"/>
      <c r="Z33" s="1149"/>
      <c r="AA33" s="683">
        <f t="shared" si="0"/>
        <v>0</v>
      </c>
      <c r="AB33" s="686">
        <f t="shared" si="1"/>
        <v>0</v>
      </c>
    </row>
    <row r="34" spans="1:28" ht="12.75" customHeight="1">
      <c r="A34" s="168" t="str">
        <f>'t1'!A32</f>
        <v>POSIZ.ECON. B6 PROFILI ACCESSO B3</v>
      </c>
      <c r="B34" s="249" t="str">
        <f>'t1'!B32</f>
        <v>038490</v>
      </c>
      <c r="C34" s="325"/>
      <c r="D34" s="326"/>
      <c r="E34" s="325"/>
      <c r="F34" s="326"/>
      <c r="G34" s="325"/>
      <c r="H34" s="326"/>
      <c r="I34" s="325"/>
      <c r="J34" s="326"/>
      <c r="K34" s="325"/>
      <c r="L34" s="326"/>
      <c r="M34" s="325"/>
      <c r="N34" s="326"/>
      <c r="O34" s="325"/>
      <c r="P34" s="326"/>
      <c r="Q34" s="325"/>
      <c r="R34" s="326"/>
      <c r="S34" s="325"/>
      <c r="T34" s="1155"/>
      <c r="U34" s="325"/>
      <c r="V34" s="1155"/>
      <c r="W34" s="325"/>
      <c r="X34" s="1155"/>
      <c r="Y34" s="325"/>
      <c r="Z34" s="1149"/>
      <c r="AA34" s="683">
        <f t="shared" si="0"/>
        <v>0</v>
      </c>
      <c r="AB34" s="686">
        <f t="shared" si="1"/>
        <v>0</v>
      </c>
    </row>
    <row r="35" spans="1:28" ht="12.75" customHeight="1">
      <c r="A35" s="168" t="str">
        <f>'t1'!A33</f>
        <v>POSIZ.ECON. B6 PROFILI ACCESSO B1</v>
      </c>
      <c r="B35" s="249" t="str">
        <f>'t1'!B33</f>
        <v>038491</v>
      </c>
      <c r="C35" s="325"/>
      <c r="D35" s="326"/>
      <c r="E35" s="325"/>
      <c r="F35" s="326"/>
      <c r="G35" s="325"/>
      <c r="H35" s="326"/>
      <c r="I35" s="325"/>
      <c r="J35" s="326"/>
      <c r="K35" s="325"/>
      <c r="L35" s="326"/>
      <c r="M35" s="325"/>
      <c r="N35" s="326"/>
      <c r="O35" s="325"/>
      <c r="P35" s="326"/>
      <c r="Q35" s="325"/>
      <c r="R35" s="326"/>
      <c r="S35" s="325"/>
      <c r="T35" s="1155"/>
      <c r="U35" s="325"/>
      <c r="V35" s="1155"/>
      <c r="W35" s="325"/>
      <c r="X35" s="1155"/>
      <c r="Y35" s="325"/>
      <c r="Z35" s="1149"/>
      <c r="AA35" s="683">
        <f t="shared" si="0"/>
        <v>0</v>
      </c>
      <c r="AB35" s="686">
        <f t="shared" si="1"/>
        <v>0</v>
      </c>
    </row>
    <row r="36" spans="1:28" ht="12.75" customHeight="1">
      <c r="A36" s="168" t="str">
        <f>'t1'!A34</f>
        <v>POSIZ.ECON. B5 PROFILI ACCESSO B3</v>
      </c>
      <c r="B36" s="249" t="str">
        <f>'t1'!B34</f>
        <v>037492</v>
      </c>
      <c r="C36" s="325">
        <v>32</v>
      </c>
      <c r="D36" s="326"/>
      <c r="E36" s="325">
        <v>3</v>
      </c>
      <c r="F36" s="326"/>
      <c r="G36" s="325">
        <v>2</v>
      </c>
      <c r="H36" s="326"/>
      <c r="I36" s="325">
        <v>28</v>
      </c>
      <c r="J36" s="326"/>
      <c r="K36" s="325"/>
      <c r="L36" s="326"/>
      <c r="M36" s="325"/>
      <c r="N36" s="326"/>
      <c r="O36" s="325"/>
      <c r="P36" s="326"/>
      <c r="Q36" s="325"/>
      <c r="R36" s="326"/>
      <c r="S36" s="325"/>
      <c r="T36" s="1155"/>
      <c r="U36" s="325"/>
      <c r="V36" s="1155"/>
      <c r="W36" s="325"/>
      <c r="X36" s="1155"/>
      <c r="Y36" s="325"/>
      <c r="Z36" s="1149"/>
      <c r="AA36" s="683">
        <f t="shared" si="0"/>
        <v>65</v>
      </c>
      <c r="AB36" s="686">
        <f t="shared" si="1"/>
        <v>0</v>
      </c>
    </row>
    <row r="37" spans="1:28" ht="12.75" customHeight="1">
      <c r="A37" s="168" t="str">
        <f>'t1'!A35</f>
        <v>POSIZ.ECON. B5 PROFILI ACCESSO B1</v>
      </c>
      <c r="B37" s="249" t="str">
        <f>'t1'!B35</f>
        <v>037493</v>
      </c>
      <c r="C37" s="325"/>
      <c r="D37" s="326"/>
      <c r="E37" s="325"/>
      <c r="F37" s="326"/>
      <c r="G37" s="325"/>
      <c r="H37" s="326"/>
      <c r="I37" s="325"/>
      <c r="J37" s="326"/>
      <c r="K37" s="325"/>
      <c r="L37" s="326"/>
      <c r="M37" s="325"/>
      <c r="N37" s="326"/>
      <c r="O37" s="325"/>
      <c r="P37" s="326"/>
      <c r="Q37" s="325"/>
      <c r="R37" s="326"/>
      <c r="S37" s="325"/>
      <c r="T37" s="1155"/>
      <c r="U37" s="325"/>
      <c r="V37" s="1155"/>
      <c r="W37" s="325"/>
      <c r="X37" s="1155"/>
      <c r="Y37" s="325"/>
      <c r="Z37" s="1149"/>
      <c r="AA37" s="683">
        <f t="shared" si="0"/>
        <v>0</v>
      </c>
      <c r="AB37" s="686">
        <f t="shared" si="1"/>
        <v>0</v>
      </c>
    </row>
    <row r="38" spans="1:28" ht="12.75" customHeight="1">
      <c r="A38" s="168" t="str">
        <f>'t1'!A36</f>
        <v>POSIZ.ECON. B4 PROFILI ACCESSO B3</v>
      </c>
      <c r="B38" s="249" t="str">
        <f>'t1'!B36</f>
        <v>036494</v>
      </c>
      <c r="C38" s="325">
        <v>183</v>
      </c>
      <c r="D38" s="326"/>
      <c r="E38" s="325">
        <v>56</v>
      </c>
      <c r="F38" s="326"/>
      <c r="G38" s="325">
        <v>44</v>
      </c>
      <c r="H38" s="326"/>
      <c r="I38" s="325">
        <v>16</v>
      </c>
      <c r="J38" s="326"/>
      <c r="K38" s="325">
        <v>39</v>
      </c>
      <c r="L38" s="326"/>
      <c r="M38" s="325">
        <v>8</v>
      </c>
      <c r="N38" s="326"/>
      <c r="O38" s="325">
        <v>12</v>
      </c>
      <c r="P38" s="326"/>
      <c r="Q38" s="325"/>
      <c r="R38" s="326"/>
      <c r="S38" s="325"/>
      <c r="T38" s="1155"/>
      <c r="U38" s="325"/>
      <c r="V38" s="1155"/>
      <c r="W38" s="325"/>
      <c r="X38" s="1155"/>
      <c r="Y38" s="325"/>
      <c r="Z38" s="1149"/>
      <c r="AA38" s="683">
        <f t="shared" si="0"/>
        <v>358</v>
      </c>
      <c r="AB38" s="686">
        <f t="shared" si="1"/>
        <v>0</v>
      </c>
    </row>
    <row r="39" spans="1:28" ht="12.75" customHeight="1">
      <c r="A39" s="168" t="str">
        <f>'t1'!A37</f>
        <v>POSIZ.ECON. B4 PROFILI ACCESSO B1</v>
      </c>
      <c r="B39" s="249" t="str">
        <f>'t1'!B37</f>
        <v>036495</v>
      </c>
      <c r="C39" s="325">
        <v>21</v>
      </c>
      <c r="D39" s="326"/>
      <c r="E39" s="325">
        <v>18</v>
      </c>
      <c r="F39" s="326"/>
      <c r="G39" s="325">
        <v>7</v>
      </c>
      <c r="H39" s="326"/>
      <c r="I39" s="325"/>
      <c r="J39" s="326"/>
      <c r="K39" s="325"/>
      <c r="L39" s="326"/>
      <c r="M39" s="325"/>
      <c r="N39" s="326"/>
      <c r="O39" s="325"/>
      <c r="P39" s="326"/>
      <c r="Q39" s="325"/>
      <c r="R39" s="326"/>
      <c r="S39" s="325"/>
      <c r="T39" s="1155"/>
      <c r="U39" s="325"/>
      <c r="V39" s="1155"/>
      <c r="W39" s="325"/>
      <c r="X39" s="1155"/>
      <c r="Y39" s="325"/>
      <c r="Z39" s="1149"/>
      <c r="AA39" s="683">
        <f t="shared" si="0"/>
        <v>46</v>
      </c>
      <c r="AB39" s="686">
        <f t="shared" si="1"/>
        <v>0</v>
      </c>
    </row>
    <row r="40" spans="1:28" ht="12.75" customHeight="1">
      <c r="A40" s="168" t="str">
        <f>'t1'!A38</f>
        <v>POSIZIONE ECONOMICA DI ACCESSO B3</v>
      </c>
      <c r="B40" s="249" t="str">
        <f>'t1'!B38</f>
        <v>055000</v>
      </c>
      <c r="C40" s="325">
        <v>217</v>
      </c>
      <c r="D40" s="326"/>
      <c r="E40" s="325">
        <v>61</v>
      </c>
      <c r="F40" s="326"/>
      <c r="G40" s="325">
        <v>73</v>
      </c>
      <c r="H40" s="326"/>
      <c r="I40" s="325">
        <v>18</v>
      </c>
      <c r="J40" s="326"/>
      <c r="K40" s="325">
        <v>18</v>
      </c>
      <c r="L40" s="326"/>
      <c r="M40" s="325"/>
      <c r="N40" s="326"/>
      <c r="O40" s="325"/>
      <c r="P40" s="326"/>
      <c r="Q40" s="325"/>
      <c r="R40" s="326"/>
      <c r="S40" s="325"/>
      <c r="T40" s="1155"/>
      <c r="U40" s="325"/>
      <c r="V40" s="1155"/>
      <c r="W40" s="325"/>
      <c r="X40" s="1155"/>
      <c r="Y40" s="325"/>
      <c r="Z40" s="1149"/>
      <c r="AA40" s="683">
        <f t="shared" si="0"/>
        <v>387</v>
      </c>
      <c r="AB40" s="686">
        <f t="shared" si="1"/>
        <v>0</v>
      </c>
    </row>
    <row r="41" spans="1:28" ht="12.75" customHeight="1">
      <c r="A41" s="168" t="str">
        <f>'t1'!A39</f>
        <v>POSIZIONE ECONOMICA B3</v>
      </c>
      <c r="B41" s="249" t="str">
        <f>'t1'!B39</f>
        <v>034000</v>
      </c>
      <c r="C41" s="325">
        <v>219</v>
      </c>
      <c r="D41" s="326"/>
      <c r="E41" s="325">
        <v>38</v>
      </c>
      <c r="F41" s="326"/>
      <c r="G41" s="325">
        <v>41</v>
      </c>
      <c r="H41" s="326"/>
      <c r="I41" s="325">
        <v>18</v>
      </c>
      <c r="J41" s="326"/>
      <c r="K41" s="325">
        <v>18</v>
      </c>
      <c r="L41" s="326"/>
      <c r="M41" s="325"/>
      <c r="N41" s="326"/>
      <c r="O41" s="325"/>
      <c r="P41" s="326"/>
      <c r="Q41" s="325"/>
      <c r="R41" s="326"/>
      <c r="S41" s="325"/>
      <c r="T41" s="1155"/>
      <c r="U41" s="325"/>
      <c r="V41" s="1155"/>
      <c r="W41" s="325"/>
      <c r="X41" s="1155"/>
      <c r="Y41" s="325"/>
      <c r="Z41" s="1149"/>
      <c r="AA41" s="683">
        <f t="shared" si="0"/>
        <v>334</v>
      </c>
      <c r="AB41" s="686">
        <f t="shared" si="1"/>
        <v>0</v>
      </c>
    </row>
    <row r="42" spans="1:28" ht="12.75" customHeight="1">
      <c r="A42" s="168" t="str">
        <f>'t1'!A40</f>
        <v>POSIZIONE ECONOMICA B2</v>
      </c>
      <c r="B42" s="249" t="str">
        <f>'t1'!B40</f>
        <v>032000</v>
      </c>
      <c r="C42" s="325">
        <v>112</v>
      </c>
      <c r="D42" s="326"/>
      <c r="E42" s="325">
        <v>45</v>
      </c>
      <c r="F42" s="326"/>
      <c r="G42" s="325">
        <v>24</v>
      </c>
      <c r="H42" s="326"/>
      <c r="I42" s="325"/>
      <c r="J42" s="326"/>
      <c r="K42" s="325"/>
      <c r="L42" s="326"/>
      <c r="M42" s="325"/>
      <c r="N42" s="326"/>
      <c r="O42" s="325"/>
      <c r="P42" s="326"/>
      <c r="Q42" s="325"/>
      <c r="R42" s="326"/>
      <c r="S42" s="325"/>
      <c r="T42" s="1155"/>
      <c r="U42" s="325"/>
      <c r="V42" s="1155"/>
      <c r="W42" s="325"/>
      <c r="X42" s="1155"/>
      <c r="Y42" s="325"/>
      <c r="Z42" s="1149"/>
      <c r="AA42" s="683">
        <f t="shared" si="0"/>
        <v>181</v>
      </c>
      <c r="AB42" s="686">
        <f t="shared" si="1"/>
        <v>0</v>
      </c>
    </row>
    <row r="43" spans="1:28" ht="12.75" customHeight="1">
      <c r="A43" s="168" t="str">
        <f>'t1'!A41</f>
        <v>POSIZIONE ECONOMICA DI ACCESSO B1</v>
      </c>
      <c r="B43" s="249" t="str">
        <f>'t1'!B41</f>
        <v>054000</v>
      </c>
      <c r="C43" s="325"/>
      <c r="D43" s="326">
        <v>25</v>
      </c>
      <c r="E43" s="325"/>
      <c r="F43" s="326">
        <v>34</v>
      </c>
      <c r="G43" s="325">
        <v>18</v>
      </c>
      <c r="H43" s="326"/>
      <c r="I43" s="325"/>
      <c r="J43" s="326"/>
      <c r="K43" s="325"/>
      <c r="L43" s="326"/>
      <c r="M43" s="325"/>
      <c r="N43" s="326"/>
      <c r="O43" s="325"/>
      <c r="P43" s="326"/>
      <c r="Q43" s="325"/>
      <c r="R43" s="326"/>
      <c r="S43" s="325"/>
      <c r="T43" s="1155"/>
      <c r="U43" s="325"/>
      <c r="V43" s="1155"/>
      <c r="W43" s="325"/>
      <c r="X43" s="1155"/>
      <c r="Y43" s="325"/>
      <c r="Z43" s="1149"/>
      <c r="AA43" s="683">
        <f t="shared" si="0"/>
        <v>18</v>
      </c>
      <c r="AB43" s="686">
        <f t="shared" si="1"/>
        <v>59</v>
      </c>
    </row>
    <row r="44" spans="1:28" ht="12.75" customHeight="1">
      <c r="A44" s="168" t="str">
        <f>'t1'!A42</f>
        <v>POSIZIONE ECONOMICA A5</v>
      </c>
      <c r="B44" s="249" t="str">
        <f>'t1'!B42</f>
        <v>0A5000</v>
      </c>
      <c r="C44" s="325"/>
      <c r="D44" s="326"/>
      <c r="E44" s="325"/>
      <c r="F44" s="326"/>
      <c r="G44" s="325"/>
      <c r="H44" s="326"/>
      <c r="I44" s="325"/>
      <c r="J44" s="326"/>
      <c r="K44" s="325"/>
      <c r="L44" s="326"/>
      <c r="M44" s="325"/>
      <c r="N44" s="326"/>
      <c r="O44" s="325"/>
      <c r="P44" s="326"/>
      <c r="Q44" s="325"/>
      <c r="R44" s="326"/>
      <c r="S44" s="325"/>
      <c r="T44" s="1155"/>
      <c r="U44" s="325"/>
      <c r="V44" s="1155"/>
      <c r="W44" s="325"/>
      <c r="X44" s="1155"/>
      <c r="Y44" s="325"/>
      <c r="Z44" s="1149"/>
      <c r="AA44" s="683">
        <f t="shared" si="0"/>
        <v>0</v>
      </c>
      <c r="AB44" s="686">
        <f t="shared" si="1"/>
        <v>0</v>
      </c>
    </row>
    <row r="45" spans="1:28" ht="12.75" customHeight="1">
      <c r="A45" s="168" t="str">
        <f>'t1'!A43</f>
        <v>POSIZIONE ECONOMICA A4</v>
      </c>
      <c r="B45" s="249" t="str">
        <f>'t1'!B43</f>
        <v>028000</v>
      </c>
      <c r="C45" s="325"/>
      <c r="D45" s="326"/>
      <c r="E45" s="325"/>
      <c r="F45" s="326"/>
      <c r="G45" s="325"/>
      <c r="H45" s="326"/>
      <c r="I45" s="325"/>
      <c r="J45" s="326"/>
      <c r="K45" s="325"/>
      <c r="L45" s="326"/>
      <c r="M45" s="325"/>
      <c r="N45" s="326"/>
      <c r="O45" s="325"/>
      <c r="P45" s="326"/>
      <c r="Q45" s="325"/>
      <c r="R45" s="326"/>
      <c r="S45" s="325"/>
      <c r="T45" s="1155"/>
      <c r="U45" s="325"/>
      <c r="V45" s="1155"/>
      <c r="W45" s="325"/>
      <c r="X45" s="1155"/>
      <c r="Y45" s="325"/>
      <c r="Z45" s="1149"/>
      <c r="AA45" s="683">
        <f t="shared" si="0"/>
        <v>0</v>
      </c>
      <c r="AB45" s="686">
        <f t="shared" si="1"/>
        <v>0</v>
      </c>
    </row>
    <row r="46" spans="1:28" ht="12.75" customHeight="1">
      <c r="A46" s="168" t="str">
        <f>'t1'!A44</f>
        <v>POSIZIONE ECONOMICA A3</v>
      </c>
      <c r="B46" s="249" t="str">
        <f>'t1'!B44</f>
        <v>027000</v>
      </c>
      <c r="C46" s="325"/>
      <c r="D46" s="326"/>
      <c r="E46" s="325"/>
      <c r="F46" s="326"/>
      <c r="G46" s="325"/>
      <c r="H46" s="326"/>
      <c r="I46" s="325"/>
      <c r="J46" s="326"/>
      <c r="K46" s="325"/>
      <c r="L46" s="326"/>
      <c r="M46" s="325"/>
      <c r="N46" s="326"/>
      <c r="O46" s="325"/>
      <c r="P46" s="326"/>
      <c r="Q46" s="325"/>
      <c r="R46" s="326"/>
      <c r="S46" s="325"/>
      <c r="T46" s="1155"/>
      <c r="U46" s="325"/>
      <c r="V46" s="1155"/>
      <c r="W46" s="325"/>
      <c r="X46" s="1155"/>
      <c r="Y46" s="325"/>
      <c r="Z46" s="1149"/>
      <c r="AA46" s="683">
        <f t="shared" si="0"/>
        <v>0</v>
      </c>
      <c r="AB46" s="686">
        <f t="shared" si="1"/>
        <v>0</v>
      </c>
    </row>
    <row r="47" spans="1:28" ht="12.75" customHeight="1">
      <c r="A47" s="168" t="str">
        <f>'t1'!A45</f>
        <v>POSIZIONE ECONOMICA A2</v>
      </c>
      <c r="B47" s="249" t="str">
        <f>'t1'!B45</f>
        <v>025000</v>
      </c>
      <c r="C47" s="325"/>
      <c r="D47" s="326"/>
      <c r="E47" s="325"/>
      <c r="F47" s="326"/>
      <c r="G47" s="325"/>
      <c r="H47" s="326"/>
      <c r="I47" s="325"/>
      <c r="J47" s="326"/>
      <c r="K47" s="325"/>
      <c r="L47" s="326"/>
      <c r="M47" s="325"/>
      <c r="N47" s="326"/>
      <c r="O47" s="325"/>
      <c r="P47" s="326"/>
      <c r="Q47" s="325"/>
      <c r="R47" s="326"/>
      <c r="S47" s="325"/>
      <c r="T47" s="1155"/>
      <c r="U47" s="325"/>
      <c r="V47" s="1155"/>
      <c r="W47" s="325"/>
      <c r="X47" s="1155"/>
      <c r="Y47" s="325"/>
      <c r="Z47" s="1149"/>
      <c r="AA47" s="683">
        <f t="shared" si="0"/>
        <v>0</v>
      </c>
      <c r="AB47" s="686">
        <f t="shared" si="1"/>
        <v>0</v>
      </c>
    </row>
    <row r="48" spans="1:28" ht="12.75" customHeight="1">
      <c r="A48" s="168" t="str">
        <f>'t1'!A46</f>
        <v>POSIZIONE ECONOMICA DI ACCESSO A1</v>
      </c>
      <c r="B48" s="249" t="str">
        <f>'t1'!B46</f>
        <v>053000</v>
      </c>
      <c r="C48" s="325">
        <v>18</v>
      </c>
      <c r="D48" s="326"/>
      <c r="E48" s="325">
        <v>8</v>
      </c>
      <c r="F48" s="326"/>
      <c r="G48" s="325"/>
      <c r="H48" s="326"/>
      <c r="I48" s="325"/>
      <c r="J48" s="326"/>
      <c r="K48" s="325"/>
      <c r="L48" s="326"/>
      <c r="M48" s="325"/>
      <c r="N48" s="326"/>
      <c r="O48" s="325"/>
      <c r="P48" s="326"/>
      <c r="Q48" s="325"/>
      <c r="R48" s="326"/>
      <c r="S48" s="325"/>
      <c r="T48" s="1155"/>
      <c r="U48" s="325"/>
      <c r="V48" s="1155"/>
      <c r="W48" s="325"/>
      <c r="X48" s="1155"/>
      <c r="Y48" s="325"/>
      <c r="Z48" s="1149"/>
      <c r="AA48" s="683">
        <f t="shared" si="0"/>
        <v>26</v>
      </c>
      <c r="AB48" s="686">
        <f t="shared" si="1"/>
        <v>0</v>
      </c>
    </row>
    <row r="49" spans="1:28" ht="12.75" customHeight="1">
      <c r="A49" s="168" t="str">
        <f>'t1'!A47</f>
        <v>CONTRATTISTI (a)</v>
      </c>
      <c r="B49" s="249" t="str">
        <f>'t1'!B47</f>
        <v>000061</v>
      </c>
      <c r="C49" s="325">
        <v>61</v>
      </c>
      <c r="D49" s="326"/>
      <c r="E49" s="325"/>
      <c r="F49" s="326"/>
      <c r="G49" s="325"/>
      <c r="H49" s="326"/>
      <c r="I49" s="325"/>
      <c r="J49" s="326"/>
      <c r="K49" s="325"/>
      <c r="L49" s="326"/>
      <c r="M49" s="325"/>
      <c r="N49" s="326"/>
      <c r="O49" s="325"/>
      <c r="P49" s="326"/>
      <c r="Q49" s="325"/>
      <c r="R49" s="326"/>
      <c r="S49" s="325"/>
      <c r="T49" s="1155"/>
      <c r="U49" s="325"/>
      <c r="V49" s="1155"/>
      <c r="W49" s="325"/>
      <c r="X49" s="1155"/>
      <c r="Y49" s="325"/>
      <c r="Z49" s="1149"/>
      <c r="AA49" s="683">
        <f t="shared" si="0"/>
        <v>61</v>
      </c>
      <c r="AB49" s="686">
        <f t="shared" si="1"/>
        <v>0</v>
      </c>
    </row>
    <row r="50" spans="1:28" ht="12.75" customHeight="1" thickBot="1">
      <c r="A50" s="168" t="str">
        <f>'t1'!A48</f>
        <v>COLLABORATORE A TEMPO DETERMIN. (b)</v>
      </c>
      <c r="B50" s="249" t="str">
        <f>'t1'!B48</f>
        <v>000096</v>
      </c>
      <c r="C50" s="325"/>
      <c r="D50" s="326"/>
      <c r="E50" s="325"/>
      <c r="F50" s="326"/>
      <c r="G50" s="325"/>
      <c r="H50" s="326"/>
      <c r="I50" s="325"/>
      <c r="J50" s="326"/>
      <c r="K50" s="325"/>
      <c r="L50" s="326"/>
      <c r="M50" s="325"/>
      <c r="N50" s="326"/>
      <c r="O50" s="325"/>
      <c r="P50" s="326"/>
      <c r="Q50" s="325"/>
      <c r="R50" s="326"/>
      <c r="S50" s="1159"/>
      <c r="T50" s="1156"/>
      <c r="U50" s="1159"/>
      <c r="V50" s="1156"/>
      <c r="W50" s="1159"/>
      <c r="X50" s="1156"/>
      <c r="Y50" s="1159"/>
      <c r="Z50" s="1150"/>
      <c r="AA50" s="684">
        <f t="shared" si="0"/>
        <v>0</v>
      </c>
      <c r="AB50" s="686">
        <f t="shared" si="1"/>
        <v>0</v>
      </c>
    </row>
    <row r="51" spans="1:28" ht="12.75" customHeight="1" thickBot="1" thickTop="1">
      <c r="A51" s="34" t="s">
        <v>78</v>
      </c>
      <c r="B51" s="525"/>
      <c r="C51" s="577">
        <f aca="true" t="shared" si="2" ref="C51:AB51">SUM(C8:C50)</f>
        <v>4058</v>
      </c>
      <c r="D51" s="578">
        <f t="shared" si="2"/>
        <v>1145</v>
      </c>
      <c r="E51" s="577">
        <f t="shared" si="2"/>
        <v>874</v>
      </c>
      <c r="F51" s="578">
        <f t="shared" si="2"/>
        <v>393</v>
      </c>
      <c r="G51" s="577">
        <f t="shared" si="2"/>
        <v>952</v>
      </c>
      <c r="H51" s="578">
        <f t="shared" si="2"/>
        <v>461</v>
      </c>
      <c r="I51" s="577">
        <f t="shared" si="2"/>
        <v>232</v>
      </c>
      <c r="J51" s="578">
        <f t="shared" si="2"/>
        <v>39</v>
      </c>
      <c r="K51" s="577">
        <f t="shared" si="2"/>
        <v>226</v>
      </c>
      <c r="L51" s="578">
        <f t="shared" si="2"/>
        <v>39</v>
      </c>
      <c r="M51" s="577">
        <f t="shared" si="2"/>
        <v>78</v>
      </c>
      <c r="N51" s="578">
        <f t="shared" si="2"/>
        <v>15</v>
      </c>
      <c r="O51" s="577">
        <f t="shared" si="2"/>
        <v>115</v>
      </c>
      <c r="P51" s="578">
        <f t="shared" si="2"/>
        <v>18</v>
      </c>
      <c r="Q51" s="577">
        <f>SUM(Q8:Q50)</f>
        <v>5</v>
      </c>
      <c r="R51" s="578">
        <f>SUM(R8:R50)</f>
        <v>29</v>
      </c>
      <c r="S51" s="577">
        <f aca="true" t="shared" si="3" ref="S51:Z51">SUM(S8:S50)</f>
        <v>21</v>
      </c>
      <c r="T51" s="1157">
        <f t="shared" si="3"/>
        <v>20</v>
      </c>
      <c r="U51" s="577">
        <f t="shared" si="3"/>
        <v>0</v>
      </c>
      <c r="V51" s="1157">
        <f t="shared" si="3"/>
        <v>0</v>
      </c>
      <c r="W51" s="577">
        <f t="shared" si="3"/>
        <v>0</v>
      </c>
      <c r="X51" s="1157">
        <f t="shared" si="3"/>
        <v>0</v>
      </c>
      <c r="Y51" s="577">
        <f t="shared" si="3"/>
        <v>0</v>
      </c>
      <c r="Z51" s="1151">
        <f t="shared" si="3"/>
        <v>0</v>
      </c>
      <c r="AA51" s="1161">
        <f t="shared" si="2"/>
        <v>6561</v>
      </c>
      <c r="AB51" s="579">
        <f t="shared" si="2"/>
        <v>2159</v>
      </c>
    </row>
    <row r="52" spans="1:9" ht="17.25" customHeight="1">
      <c r="A52" s="26" t="s">
        <v>192</v>
      </c>
      <c r="B52" s="7"/>
      <c r="C52" s="5"/>
      <c r="D52" s="5"/>
      <c r="E52" s="5"/>
      <c r="F52" s="5"/>
      <c r="G52" s="5"/>
      <c r="H52" s="5"/>
      <c r="I52" s="5"/>
    </row>
    <row r="53" ht="11.25">
      <c r="A53" s="26" t="s">
        <v>448</v>
      </c>
    </row>
  </sheetData>
  <sheetProtection password="EA98" sheet="1" objects="1" scenarios="1" formatColumns="0" selectLockedCells="1"/>
  <mergeCells count="25">
    <mergeCell ref="G2:J2"/>
    <mergeCell ref="A1:J1"/>
    <mergeCell ref="K4:L4"/>
    <mergeCell ref="K5:L5"/>
    <mergeCell ref="C5:D5"/>
    <mergeCell ref="E5:F5"/>
    <mergeCell ref="E4:F4"/>
    <mergeCell ref="O5:P5"/>
    <mergeCell ref="Q5:R5"/>
    <mergeCell ref="M5:N5"/>
    <mergeCell ref="G4:H4"/>
    <mergeCell ref="I4:J4"/>
    <mergeCell ref="G5:H5"/>
    <mergeCell ref="I5:J5"/>
    <mergeCell ref="M4:N4"/>
    <mergeCell ref="O4:P4"/>
    <mergeCell ref="Q4:R4"/>
    <mergeCell ref="Y5:Z5"/>
    <mergeCell ref="U4:V4"/>
    <mergeCell ref="W4:X4"/>
    <mergeCell ref="Y4:Z4"/>
    <mergeCell ref="S4:T4"/>
    <mergeCell ref="S5:T5"/>
    <mergeCell ref="U5:V5"/>
    <mergeCell ref="W5:X5"/>
  </mergeCells>
  <printOptions horizontalCentered="1" verticalCentered="1"/>
  <pageMargins left="0" right="0" top="0.1968503937007874" bottom="0.15748031496062992" header="0.15748031496062992" footer="0.1968503937007874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688" customWidth="1"/>
    <col min="2" max="2" width="25.83203125" style="689" customWidth="1"/>
    <col min="3" max="3" width="5.5" style="689" customWidth="1"/>
    <col min="4" max="4" width="56.16015625" style="689" customWidth="1"/>
    <col min="5" max="5" width="22.5" style="689" customWidth="1"/>
    <col min="6" max="6" width="23.16015625" style="689" customWidth="1"/>
    <col min="7" max="7" width="21.5" style="689" customWidth="1"/>
    <col min="8" max="8" width="25.5" style="773" customWidth="1"/>
    <col min="9" max="9" width="0" style="773" hidden="1" customWidth="1"/>
    <col min="10" max="16384" width="12.83203125" style="773" customWidth="1"/>
  </cols>
  <sheetData>
    <row r="1" spans="8:9" ht="54.75" customHeight="1">
      <c r="H1" s="716" t="s">
        <v>438</v>
      </c>
      <c r="I1" s="458"/>
    </row>
    <row r="2" spans="2:9" ht="54.75" customHeight="1">
      <c r="B2" s="1283">
        <f>IF(SI_1!G51&gt;0,"LA COMPILAZIONE DI QUESTA APPENDICE E' OBBLIGATORIA","")</f>
      </c>
      <c r="C2" s="1283"/>
      <c r="D2" s="1283"/>
      <c r="E2" s="1283"/>
      <c r="F2" s="1283"/>
      <c r="G2" s="1283"/>
      <c r="H2" s="716"/>
      <c r="I2" s="458"/>
    </row>
    <row r="3" spans="1:9" ht="26.25" customHeight="1" thickBot="1">
      <c r="A3" s="711"/>
      <c r="B3" s="707"/>
      <c r="C3" s="707"/>
      <c r="D3" s="708" t="str">
        <f>'t1'!A1</f>
        <v>COMPARTO REGIONI ED AUTONOMIE LOCALI</v>
      </c>
      <c r="E3" s="707"/>
      <c r="F3" s="707"/>
      <c r="G3" s="707"/>
      <c r="H3" s="717"/>
      <c r="I3" s="458"/>
    </row>
    <row r="4" spans="2:9" ht="12">
      <c r="B4" s="690"/>
      <c r="C4" s="690"/>
      <c r="D4" s="690"/>
      <c r="E4" s="690"/>
      <c r="F4" s="690"/>
      <c r="G4" s="690"/>
      <c r="H4" s="718"/>
      <c r="I4" s="458"/>
    </row>
    <row r="5" spans="1:9" ht="15">
      <c r="A5" s="691"/>
      <c r="B5" s="692"/>
      <c r="C5" s="693"/>
      <c r="D5" s="692"/>
      <c r="E5" s="692"/>
      <c r="G5" s="719" t="s">
        <v>70</v>
      </c>
      <c r="H5" s="718"/>
      <c r="I5" s="458"/>
    </row>
    <row r="6" spans="1:9" ht="17.25" customHeight="1">
      <c r="A6" s="691" t="s">
        <v>338</v>
      </c>
      <c r="B6" s="694" t="s">
        <v>472</v>
      </c>
      <c r="C6" s="695"/>
      <c r="G6" s="702"/>
      <c r="H6" s="718"/>
      <c r="I6" s="458"/>
    </row>
    <row r="7" spans="1:9" ht="20.25" customHeight="1">
      <c r="A7" s="691"/>
      <c r="C7" s="695"/>
      <c r="D7" s="692" t="s">
        <v>61</v>
      </c>
      <c r="G7" s="724"/>
      <c r="H7" s="1284">
        <f>IF(SUM(G7:G9)&lt;&gt;SI_1!G51,"LA SOMMA DEI VALORI DEVE ESSERE UGUALE A "&amp;SI_1!G51,"")</f>
      </c>
      <c r="I7" s="458"/>
    </row>
    <row r="8" spans="1:9" ht="20.25" customHeight="1">
      <c r="A8" s="691"/>
      <c r="C8" s="695"/>
      <c r="D8" s="692" t="s">
        <v>882</v>
      </c>
      <c r="G8" s="724"/>
      <c r="H8" s="1284"/>
      <c r="I8" s="458"/>
    </row>
    <row r="9" spans="1:9" ht="20.25" customHeight="1">
      <c r="A9" s="691"/>
      <c r="C9" s="695"/>
      <c r="D9" s="692" t="s">
        <v>881</v>
      </c>
      <c r="G9" s="724"/>
      <c r="H9" s="1284"/>
      <c r="I9" s="734"/>
    </row>
    <row r="10" spans="1:9" ht="17.25" customHeight="1">
      <c r="A10" s="691"/>
      <c r="B10" s="692"/>
      <c r="C10" s="693"/>
      <c r="D10" s="692"/>
      <c r="E10" s="692"/>
      <c r="G10" s="699"/>
      <c r="H10" s="718"/>
      <c r="I10" s="458"/>
    </row>
    <row r="11" spans="1:9" ht="20.25" customHeight="1">
      <c r="A11" s="691" t="s">
        <v>339</v>
      </c>
      <c r="B11" s="720" t="s">
        <v>483</v>
      </c>
      <c r="C11" s="693"/>
      <c r="D11" s="692"/>
      <c r="E11" s="692"/>
      <c r="G11" s="724"/>
      <c r="H11" s="1286">
        <f>IF(SI_1!G51=0,"",IF(AND(G11&lt;=SI_1!G51,G11&gt;=0),"","IL VALORE INSERITO DEVE ESSERE &lt;= "&amp;SI_1!G51))</f>
      </c>
      <c r="I11" s="458"/>
    </row>
    <row r="12" spans="1:9" ht="17.25" customHeight="1">
      <c r="A12" s="691"/>
      <c r="B12" s="692"/>
      <c r="C12" s="693"/>
      <c r="D12" s="692"/>
      <c r="E12" s="692"/>
      <c r="G12" s="699"/>
      <c r="H12" s="1287"/>
      <c r="I12" s="458"/>
    </row>
    <row r="13" spans="1:9" ht="15" customHeight="1">
      <c r="A13" s="691" t="s">
        <v>347</v>
      </c>
      <c r="B13" s="696" t="s">
        <v>62</v>
      </c>
      <c r="C13" s="693"/>
      <c r="D13" s="692"/>
      <c r="E13" s="692"/>
      <c r="G13" s="699"/>
      <c r="H13" s="718"/>
      <c r="I13" s="458"/>
    </row>
    <row r="14" spans="1:9" ht="20.25" customHeight="1">
      <c r="A14" s="697"/>
      <c r="C14" s="693"/>
      <c r="D14" s="692" t="s">
        <v>63</v>
      </c>
      <c r="E14" s="692"/>
      <c r="G14" s="724"/>
      <c r="H14" s="1285">
        <f>IF(SUM(G14:G17)&lt;&gt;SI_1!G51,"LA SOMMA DEI VALORI DEVE ESSERE UGUALE A "&amp;SI_1!G51,"")</f>
      </c>
      <c r="I14" s="458"/>
    </row>
    <row r="15" spans="1:9" ht="20.25" customHeight="1">
      <c r="A15" s="697"/>
      <c r="C15" s="698"/>
      <c r="D15" s="699" t="s">
        <v>64</v>
      </c>
      <c r="E15" s="699"/>
      <c r="G15" s="724"/>
      <c r="H15" s="1285"/>
      <c r="I15" s="458"/>
    </row>
    <row r="16" spans="1:9" ht="20.25" customHeight="1">
      <c r="A16" s="700"/>
      <c r="C16" s="701"/>
      <c r="D16" s="701" t="s">
        <v>65</v>
      </c>
      <c r="E16" s="701"/>
      <c r="G16" s="725"/>
      <c r="H16" s="1285"/>
      <c r="I16" s="458"/>
    </row>
    <row r="17" spans="1:9" ht="20.25" customHeight="1">
      <c r="A17" s="700"/>
      <c r="C17" s="701"/>
      <c r="D17" s="701" t="s">
        <v>66</v>
      </c>
      <c r="E17" s="701"/>
      <c r="G17" s="725"/>
      <c r="H17" s="1285"/>
      <c r="I17" s="458"/>
    </row>
    <row r="18" spans="1:9" ht="15" customHeight="1">
      <c r="A18" s="697"/>
      <c r="B18" s="692"/>
      <c r="C18" s="692"/>
      <c r="D18" s="692"/>
      <c r="E18" s="692"/>
      <c r="G18" s="692"/>
      <c r="H18" s="721"/>
      <c r="I18" s="458"/>
    </row>
    <row r="19" spans="1:9" ht="20.25" customHeight="1">
      <c r="A19" s="697" t="s">
        <v>348</v>
      </c>
      <c r="B19" s="1288" t="s">
        <v>484</v>
      </c>
      <c r="C19" s="1289"/>
      <c r="D19" s="1289"/>
      <c r="E19" s="1289"/>
      <c r="F19" s="1289"/>
      <c r="G19" s="724"/>
      <c r="H19" s="1286">
        <f>IF(SI_1!G51=0,"",IF(AND(G19&lt;=SI_1!G51,G19&gt;0),"","IL VALORE INSERITO DEVE ESSERE &lt;= "&amp;SI_1!G51&amp;" E MAGGIORE DI 0"))</f>
      </c>
      <c r="I19" s="458"/>
    </row>
    <row r="20" spans="1:9" ht="33.75" customHeight="1">
      <c r="A20" s="697"/>
      <c r="B20" s="1289"/>
      <c r="C20" s="1289"/>
      <c r="D20" s="1289"/>
      <c r="E20" s="1289"/>
      <c r="F20" s="1289"/>
      <c r="G20" s="692"/>
      <c r="H20" s="1287"/>
      <c r="I20" s="458"/>
    </row>
    <row r="21" spans="1:9" ht="15" customHeight="1">
      <c r="A21" s="697"/>
      <c r="B21" s="696" t="s">
        <v>485</v>
      </c>
      <c r="C21" s="692"/>
      <c r="D21" s="692"/>
      <c r="E21" s="692"/>
      <c r="G21" s="692"/>
      <c r="H21" s="721"/>
      <c r="I21" s="458"/>
    </row>
    <row r="22" spans="1:9" ht="20.25" customHeight="1">
      <c r="A22" s="697"/>
      <c r="B22" s="692"/>
      <c r="C22" s="692"/>
      <c r="D22" s="692" t="s">
        <v>67</v>
      </c>
      <c r="E22" s="692"/>
      <c r="G22" s="724"/>
      <c r="H22" s="1285">
        <f>IF(SUM(G22:G24)&lt;&gt;G19,"LA SOMMA DEI VALORI DEVE ESSERE UGUALE A "&amp;IF(G19&lt;&gt;0,G19,0),"")</f>
      </c>
      <c r="I22" s="458"/>
    </row>
    <row r="23" spans="1:9" ht="20.25" customHeight="1">
      <c r="A23" s="697"/>
      <c r="B23" s="692"/>
      <c r="C23" s="692"/>
      <c r="D23" s="692" t="s">
        <v>68</v>
      </c>
      <c r="E23" s="692"/>
      <c r="G23" s="724"/>
      <c r="H23" s="1285"/>
      <c r="I23" s="458"/>
    </row>
    <row r="24" spans="1:9" ht="20.25" customHeight="1">
      <c r="A24" s="697"/>
      <c r="B24" s="692"/>
      <c r="C24" s="692"/>
      <c r="D24" s="692" t="s">
        <v>69</v>
      </c>
      <c r="E24" s="692"/>
      <c r="G24" s="724"/>
      <c r="H24" s="1285"/>
      <c r="I24" s="458">
        <f>SUM(G22:G24,G19,G14:G17,G11,G7:G9)</f>
        <v>0</v>
      </c>
    </row>
    <row r="25" spans="1:9" ht="15" customHeight="1">
      <c r="A25" s="697"/>
      <c r="B25" s="692"/>
      <c r="C25" s="692"/>
      <c r="D25" s="692"/>
      <c r="E25" s="692"/>
      <c r="F25" s="692"/>
      <c r="G25" s="692"/>
      <c r="H25" s="721"/>
      <c r="I25" s="458"/>
    </row>
    <row r="26" spans="1:9" s="774" customFormat="1" ht="15" customHeight="1">
      <c r="A26" s="697"/>
      <c r="B26" s="692"/>
      <c r="C26" s="692"/>
      <c r="D26" s="692"/>
      <c r="E26" s="692"/>
      <c r="F26" s="692"/>
      <c r="G26" s="692"/>
      <c r="H26" s="722"/>
      <c r="I26" s="490"/>
    </row>
    <row r="27" spans="1:9" ht="14.25">
      <c r="A27" s="709"/>
      <c r="B27" s="710"/>
      <c r="C27" s="710"/>
      <c r="D27" s="710"/>
      <c r="E27" s="710"/>
      <c r="F27" s="710"/>
      <c r="G27" s="710"/>
      <c r="H27" s="723"/>
      <c r="I27" s="458"/>
    </row>
    <row r="28" spans="1:8" ht="14.25">
      <c r="A28" s="697"/>
      <c r="B28" s="692"/>
      <c r="C28" s="692"/>
      <c r="D28" s="692"/>
      <c r="E28" s="692"/>
      <c r="F28" s="692"/>
      <c r="G28" s="692"/>
      <c r="H28" s="692"/>
    </row>
    <row r="29" spans="1:8" ht="14.25">
      <c r="A29" s="697"/>
      <c r="B29" s="692"/>
      <c r="C29" s="692"/>
      <c r="D29" s="692"/>
      <c r="E29" s="692"/>
      <c r="F29" s="692"/>
      <c r="G29" s="692"/>
      <c r="H29" s="692"/>
    </row>
    <row r="30" spans="1:8" ht="14.25">
      <c r="A30" s="697"/>
      <c r="B30" s="692"/>
      <c r="C30" s="692"/>
      <c r="D30" s="692"/>
      <c r="E30" s="692"/>
      <c r="F30" s="692"/>
      <c r="G30" s="692"/>
      <c r="H30" s="692"/>
    </row>
    <row r="31" spans="1:8" ht="14.25">
      <c r="A31" s="697"/>
      <c r="B31" s="692"/>
      <c r="C31" s="692"/>
      <c r="D31" s="692"/>
      <c r="E31" s="692"/>
      <c r="F31" s="692"/>
      <c r="G31" s="692"/>
      <c r="H31" s="692"/>
    </row>
    <row r="32" spans="1:8" ht="14.25">
      <c r="A32" s="697"/>
      <c r="B32" s="692"/>
      <c r="C32" s="692"/>
      <c r="D32" s="692"/>
      <c r="E32" s="692"/>
      <c r="F32" s="692"/>
      <c r="G32" s="692"/>
      <c r="H32" s="692"/>
    </row>
    <row r="33" spans="1:8" ht="14.25">
      <c r="A33" s="697"/>
      <c r="B33" s="692"/>
      <c r="C33" s="692"/>
      <c r="D33" s="692"/>
      <c r="E33" s="692"/>
      <c r="F33" s="692"/>
      <c r="G33" s="692"/>
      <c r="H33" s="692"/>
    </row>
    <row r="34" spans="1:8" ht="23.25" customHeight="1">
      <c r="A34" s="697"/>
      <c r="B34" s="692"/>
      <c r="C34" s="692"/>
      <c r="D34" s="692"/>
      <c r="E34" s="692"/>
      <c r="F34" s="692"/>
      <c r="G34" s="692"/>
      <c r="H34" s="692"/>
    </row>
    <row r="35" spans="1:8" ht="23.25" customHeight="1">
      <c r="A35" s="697"/>
      <c r="B35" s="692"/>
      <c r="C35" s="692"/>
      <c r="D35" s="692"/>
      <c r="E35" s="692"/>
      <c r="F35" s="692"/>
      <c r="G35" s="692"/>
      <c r="H35" s="692"/>
    </row>
    <row r="36" spans="1:8" ht="23.25" customHeight="1">
      <c r="A36" s="697"/>
      <c r="B36" s="692"/>
      <c r="C36" s="692"/>
      <c r="D36" s="692"/>
      <c r="E36" s="692"/>
      <c r="F36" s="692"/>
      <c r="G36" s="692"/>
      <c r="H36" s="692"/>
    </row>
    <row r="37" spans="1:8" ht="23.25" customHeight="1">
      <c r="A37" s="697"/>
      <c r="B37" s="692"/>
      <c r="C37" s="692"/>
      <c r="D37" s="692"/>
      <c r="E37" s="692"/>
      <c r="F37" s="692"/>
      <c r="G37" s="692"/>
      <c r="H37" s="692"/>
    </row>
  </sheetData>
  <sheetProtection password="EA98" sheet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dataValidations count="1">
    <dataValidation type="whole" operator="greaterThanOrEqual" allowBlank="1" showInputMessage="1" showErrorMessage="1" errorTitle="ERRORE" error="IL VALORE DEVE ESSERE UN INTERO POSITIVO" sqref="G11">
      <formula1>0</formula1>
    </dataValidation>
  </dataValidation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9"/>
  <dimension ref="A1:M53"/>
  <sheetViews>
    <sheetView showGridLines="0" zoomScalePageLayoutView="0" workbookViewId="0" topLeftCell="A1">
      <pane xSplit="2" ySplit="5" topLeftCell="C24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G34" sqref="G34"/>
    </sheetView>
  </sheetViews>
  <sheetFormatPr defaultColWidth="9.33203125" defaultRowHeight="10.5"/>
  <cols>
    <col min="1" max="1" width="37.83203125" style="5" customWidth="1"/>
    <col min="2" max="2" width="11" style="7" customWidth="1"/>
    <col min="3" max="3" width="14.83203125" style="5" customWidth="1"/>
    <col min="4" max="4" width="16.83203125" style="5" customWidth="1"/>
    <col min="5" max="5" width="16.83203125" style="5" hidden="1" customWidth="1"/>
    <col min="6" max="11" width="16.83203125" style="5" customWidth="1"/>
    <col min="12" max="16384" width="9.33203125" style="5" customWidth="1"/>
  </cols>
  <sheetData>
    <row r="1" spans="1:13" ht="33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3"/>
      <c r="K1" s="370"/>
      <c r="M1"/>
    </row>
    <row r="2" spans="1:11" ht="27" customHeight="1" thickBot="1">
      <c r="A2" s="6"/>
      <c r="H2" s="1397"/>
      <c r="I2" s="1397"/>
      <c r="J2" s="1397"/>
      <c r="K2" s="1397"/>
    </row>
    <row r="3" spans="1:11" ht="12" thickBot="1">
      <c r="A3" s="12"/>
      <c r="B3" s="13"/>
      <c r="C3" s="137" t="s">
        <v>277</v>
      </c>
      <c r="D3" s="14"/>
      <c r="E3" s="14"/>
      <c r="F3" s="14"/>
      <c r="G3" s="14"/>
      <c r="H3" s="14"/>
      <c r="I3" s="14"/>
      <c r="J3" s="132"/>
      <c r="K3" s="132"/>
    </row>
    <row r="4" spans="1:11" ht="45.75" thickTop="1">
      <c r="A4" s="27" t="s">
        <v>149</v>
      </c>
      <c r="B4" s="133" t="s">
        <v>74</v>
      </c>
      <c r="C4" s="134" t="s">
        <v>195</v>
      </c>
      <c r="D4" s="134" t="s">
        <v>150</v>
      </c>
      <c r="E4" s="134"/>
      <c r="F4" s="134" t="s">
        <v>274</v>
      </c>
      <c r="G4" s="134" t="s">
        <v>113</v>
      </c>
      <c r="H4" s="134" t="s">
        <v>193</v>
      </c>
      <c r="I4" s="134" t="s">
        <v>194</v>
      </c>
      <c r="J4" s="134" t="s">
        <v>114</v>
      </c>
      <c r="K4" s="135" t="s">
        <v>620</v>
      </c>
    </row>
    <row r="5" spans="1:11" s="320" customFormat="1" ht="9" thickBot="1">
      <c r="A5" s="341"/>
      <c r="B5" s="342"/>
      <c r="C5" s="343">
        <v>1</v>
      </c>
      <c r="D5" s="343">
        <v>2</v>
      </c>
      <c r="E5" s="343"/>
      <c r="F5" s="343">
        <v>4</v>
      </c>
      <c r="G5" s="343">
        <v>5</v>
      </c>
      <c r="H5" s="343">
        <v>6</v>
      </c>
      <c r="I5" s="343">
        <v>7</v>
      </c>
      <c r="J5" s="343">
        <v>8</v>
      </c>
      <c r="K5" s="344">
        <v>9</v>
      </c>
    </row>
    <row r="6" spans="1:11" ht="12.75" customHeight="1" thickTop="1">
      <c r="A6" s="25" t="str">
        <f>'t1'!A6</f>
        <v>SEGRETARIO A</v>
      </c>
      <c r="B6" s="257" t="str">
        <f>'t1'!B6</f>
        <v>0D0102</v>
      </c>
      <c r="C6" s="232">
        <v>12</v>
      </c>
      <c r="D6" s="230">
        <v>32262</v>
      </c>
      <c r="E6" s="230"/>
      <c r="F6" s="230">
        <v>4766</v>
      </c>
      <c r="G6" s="230">
        <v>7280</v>
      </c>
      <c r="H6" s="230"/>
      <c r="I6" s="230"/>
      <c r="J6" s="231"/>
      <c r="K6" s="583">
        <f>(D6+E6+F6+G6+H6+I6)-J6</f>
        <v>44308</v>
      </c>
    </row>
    <row r="7" spans="1:11" ht="12" customHeight="1">
      <c r="A7" s="168" t="str">
        <f>'t1'!A7</f>
        <v>SEGRETARIO B</v>
      </c>
      <c r="B7" s="249" t="str">
        <f>'t1'!B7</f>
        <v>0D0103</v>
      </c>
      <c r="C7" s="232"/>
      <c r="D7" s="230"/>
      <c r="E7" s="230"/>
      <c r="F7" s="230"/>
      <c r="G7" s="230"/>
      <c r="H7" s="230"/>
      <c r="I7" s="230"/>
      <c r="J7" s="231"/>
      <c r="K7" s="583">
        <f aca="true" t="shared" si="0" ref="K7:K49">(D7+E7+F7+G7+H7+I7)-J7</f>
        <v>0</v>
      </c>
    </row>
    <row r="8" spans="1:11" ht="12" customHeight="1">
      <c r="A8" s="168" t="str">
        <f>'t1'!A8</f>
        <v>SEGRETARIO C</v>
      </c>
      <c r="B8" s="249" t="str">
        <f>'t1'!B8</f>
        <v>0D0485</v>
      </c>
      <c r="C8" s="232"/>
      <c r="D8" s="230"/>
      <c r="E8" s="230"/>
      <c r="F8" s="230"/>
      <c r="G8" s="230"/>
      <c r="H8" s="230"/>
      <c r="I8" s="230"/>
      <c r="J8" s="231"/>
      <c r="K8" s="583">
        <f t="shared" si="0"/>
        <v>0</v>
      </c>
    </row>
    <row r="9" spans="1:11" ht="12" customHeight="1">
      <c r="A9" s="168" t="str">
        <f>'t1'!A9</f>
        <v>SEGRETARIO GENERALE CCIAA</v>
      </c>
      <c r="B9" s="249" t="str">
        <f>'t1'!B9</f>
        <v>0D0104</v>
      </c>
      <c r="C9" s="232"/>
      <c r="D9" s="230"/>
      <c r="E9" s="230"/>
      <c r="F9" s="230"/>
      <c r="G9" s="230"/>
      <c r="H9" s="230"/>
      <c r="I9" s="230"/>
      <c r="J9" s="231"/>
      <c r="K9" s="583">
        <f t="shared" si="0"/>
        <v>0</v>
      </c>
    </row>
    <row r="10" spans="1:11" ht="12" customHeight="1">
      <c r="A10" s="168" t="str">
        <f>'t1'!A10</f>
        <v>DIRETTORE  GENERALE</v>
      </c>
      <c r="B10" s="249" t="str">
        <f>'t1'!B10</f>
        <v>0D0097</v>
      </c>
      <c r="C10" s="232"/>
      <c r="D10" s="230"/>
      <c r="E10" s="230"/>
      <c r="F10" s="230"/>
      <c r="G10" s="230"/>
      <c r="H10" s="230"/>
      <c r="I10" s="230"/>
      <c r="J10" s="231"/>
      <c r="K10" s="583">
        <f t="shared" si="0"/>
        <v>0</v>
      </c>
    </row>
    <row r="11" spans="1:11" ht="12" customHeight="1">
      <c r="A11" s="168" t="str">
        <f>'t1'!A11</f>
        <v>DIRIGENTE FUORI D.O.</v>
      </c>
      <c r="B11" s="249" t="str">
        <f>'t1'!B11</f>
        <v>0D0098</v>
      </c>
      <c r="C11" s="232"/>
      <c r="D11" s="230"/>
      <c r="E11" s="230"/>
      <c r="F11" s="230"/>
      <c r="G11" s="230"/>
      <c r="H11" s="230"/>
      <c r="I11" s="230"/>
      <c r="J11" s="231"/>
      <c r="K11" s="583">
        <f t="shared" si="0"/>
        <v>0</v>
      </c>
    </row>
    <row r="12" spans="1:11" ht="12" customHeight="1">
      <c r="A12" s="168" t="str">
        <f>'t1'!A12</f>
        <v>ALTE SPECIALIZZ. FUORI D.O.</v>
      </c>
      <c r="B12" s="249" t="str">
        <f>'t1'!B12</f>
        <v>0D0095</v>
      </c>
      <c r="C12" s="232"/>
      <c r="D12" s="230"/>
      <c r="E12" s="230"/>
      <c r="F12" s="230"/>
      <c r="G12" s="230"/>
      <c r="H12" s="230"/>
      <c r="I12" s="230"/>
      <c r="J12" s="231"/>
      <c r="K12" s="583">
        <f t="shared" si="0"/>
        <v>0</v>
      </c>
    </row>
    <row r="13" spans="1:11" ht="12" customHeight="1">
      <c r="A13" s="168" t="str">
        <f>'t1'!A13</f>
        <v>QUALIFICA DIRIGENZIALE TEMPO INDET.</v>
      </c>
      <c r="B13" s="249" t="str">
        <f>'t1'!B13</f>
        <v>0D0100</v>
      </c>
      <c r="C13" s="232">
        <v>12</v>
      </c>
      <c r="D13" s="230">
        <v>37846</v>
      </c>
      <c r="E13" s="230"/>
      <c r="F13" s="230">
        <v>487</v>
      </c>
      <c r="G13" s="230">
        <v>6606</v>
      </c>
      <c r="H13" s="230"/>
      <c r="I13" s="230"/>
      <c r="J13" s="231"/>
      <c r="K13" s="583">
        <f t="shared" si="0"/>
        <v>44939</v>
      </c>
    </row>
    <row r="14" spans="1:11" ht="12" customHeight="1">
      <c r="A14" s="168" t="str">
        <f>'t1'!A14</f>
        <v>QUALIFICA DIRIGENZIALE TEMPO DETER.</v>
      </c>
      <c r="B14" s="249" t="str">
        <f>'t1'!B14</f>
        <v>0D0099</v>
      </c>
      <c r="C14" s="232">
        <v>24.71</v>
      </c>
      <c r="D14" s="230">
        <v>76223</v>
      </c>
      <c r="E14" s="230"/>
      <c r="F14" s="230"/>
      <c r="G14" s="230">
        <v>14013</v>
      </c>
      <c r="H14" s="230"/>
      <c r="I14" s="230"/>
      <c r="J14" s="231"/>
      <c r="K14" s="583">
        <f t="shared" si="0"/>
        <v>90236</v>
      </c>
    </row>
    <row r="15" spans="1:11" ht="12" customHeight="1">
      <c r="A15" s="168" t="str">
        <f>'t1'!A15</f>
        <v>POSIZ. ECON. D6 - PROFILI ACCESSO D3</v>
      </c>
      <c r="B15" s="249" t="str">
        <f>'t1'!B15</f>
        <v>0D6A00</v>
      </c>
      <c r="C15" s="232">
        <v>108</v>
      </c>
      <c r="D15" s="230">
        <v>253940</v>
      </c>
      <c r="E15" s="230"/>
      <c r="F15" s="230">
        <v>1276</v>
      </c>
      <c r="G15" s="230">
        <v>25521</v>
      </c>
      <c r="H15" s="230">
        <v>3672</v>
      </c>
      <c r="I15" s="230">
        <v>1554</v>
      </c>
      <c r="J15" s="231">
        <v>4270</v>
      </c>
      <c r="K15" s="583">
        <f t="shared" si="0"/>
        <v>281693</v>
      </c>
    </row>
    <row r="16" spans="1:11" ht="12" customHeight="1">
      <c r="A16" s="168" t="str">
        <f>'t1'!A16</f>
        <v>POSIZ. ECON. D6 - PROFILO ACCESSO D1</v>
      </c>
      <c r="B16" s="249" t="str">
        <f>'t1'!B16</f>
        <v>0D6000</v>
      </c>
      <c r="C16" s="232"/>
      <c r="D16" s="230"/>
      <c r="E16" s="230"/>
      <c r="F16" s="230"/>
      <c r="G16" s="230"/>
      <c r="H16" s="230"/>
      <c r="I16" s="230"/>
      <c r="J16" s="231"/>
      <c r="K16" s="583">
        <f t="shared" si="0"/>
        <v>0</v>
      </c>
    </row>
    <row r="17" spans="1:11" ht="12" customHeight="1">
      <c r="A17" s="168" t="str">
        <f>'t1'!A17</f>
        <v>POSIZ.ECON. D5 PROFILI ACCESSO D3</v>
      </c>
      <c r="B17" s="249" t="str">
        <f>'t1'!B17</f>
        <v>052486</v>
      </c>
      <c r="C17" s="232">
        <v>156</v>
      </c>
      <c r="D17" s="230">
        <v>345625</v>
      </c>
      <c r="E17" s="230"/>
      <c r="F17" s="230">
        <v>1992</v>
      </c>
      <c r="G17" s="230">
        <v>38768</v>
      </c>
      <c r="H17" s="230">
        <v>4761</v>
      </c>
      <c r="I17" s="230">
        <v>2157</v>
      </c>
      <c r="J17" s="231">
        <v>19624</v>
      </c>
      <c r="K17" s="583">
        <f t="shared" si="0"/>
        <v>373679</v>
      </c>
    </row>
    <row r="18" spans="1:11" ht="12" customHeight="1">
      <c r="A18" s="168" t="str">
        <f>'t1'!A18</f>
        <v>POSIZ.ECON. D5 PROFILI ACCESSO D1</v>
      </c>
      <c r="B18" s="249" t="str">
        <f>'t1'!B18</f>
        <v>052487</v>
      </c>
      <c r="C18" s="232">
        <v>12</v>
      </c>
      <c r="D18" s="230">
        <v>26740</v>
      </c>
      <c r="E18" s="230"/>
      <c r="F18" s="230">
        <v>715</v>
      </c>
      <c r="G18" s="230">
        <v>2318</v>
      </c>
      <c r="H18" s="230">
        <v>366</v>
      </c>
      <c r="I18" s="230">
        <v>160</v>
      </c>
      <c r="J18" s="231"/>
      <c r="K18" s="583">
        <f t="shared" si="0"/>
        <v>30299</v>
      </c>
    </row>
    <row r="19" spans="1:11" ht="12" customHeight="1">
      <c r="A19" s="168" t="str">
        <f>'t1'!A19</f>
        <v>POSIZ.ECON. D4 PROFILI ACCESSO D3</v>
      </c>
      <c r="B19" s="249" t="str">
        <f>'t1'!B19</f>
        <v>051488</v>
      </c>
      <c r="C19" s="232">
        <v>200</v>
      </c>
      <c r="D19" s="230">
        <v>419148</v>
      </c>
      <c r="E19" s="230"/>
      <c r="F19" s="230">
        <v>1501</v>
      </c>
      <c r="G19" s="230">
        <v>45154</v>
      </c>
      <c r="H19" s="230">
        <v>5949</v>
      </c>
      <c r="I19" s="230">
        <v>2468</v>
      </c>
      <c r="J19" s="231">
        <v>8371</v>
      </c>
      <c r="K19" s="583">
        <f t="shared" si="0"/>
        <v>465849</v>
      </c>
    </row>
    <row r="20" spans="1:11" ht="12" customHeight="1">
      <c r="A20" s="168" t="str">
        <f>'t1'!A20</f>
        <v>POSIZ.ECON. D4 PROFILI ACCESSO D1</v>
      </c>
      <c r="B20" s="249" t="str">
        <f>'t1'!B20</f>
        <v>051489</v>
      </c>
      <c r="C20" s="232">
        <v>36</v>
      </c>
      <c r="D20" s="230">
        <v>75523</v>
      </c>
      <c r="E20" s="230"/>
      <c r="F20" s="230">
        <v>86</v>
      </c>
      <c r="G20" s="230">
        <v>6394</v>
      </c>
      <c r="H20" s="230">
        <v>1116</v>
      </c>
      <c r="I20" s="230">
        <v>459</v>
      </c>
      <c r="J20" s="231"/>
      <c r="K20" s="583">
        <f t="shared" si="0"/>
        <v>83578</v>
      </c>
    </row>
    <row r="21" spans="1:11" ht="12" customHeight="1">
      <c r="A21" s="168" t="str">
        <f>'t1'!A21</f>
        <v>POSIZIONE ECONOMICA DI ACCESSO D3</v>
      </c>
      <c r="B21" s="249" t="str">
        <f>'t1'!B21</f>
        <v>058000</v>
      </c>
      <c r="C21" s="232">
        <v>36</v>
      </c>
      <c r="D21" s="230">
        <v>72216</v>
      </c>
      <c r="E21" s="230"/>
      <c r="F21" s="230">
        <v>66</v>
      </c>
      <c r="G21" s="230">
        <v>6960</v>
      </c>
      <c r="H21" s="230">
        <v>1131</v>
      </c>
      <c r="I21" s="230">
        <v>451</v>
      </c>
      <c r="J21" s="231">
        <v>3621</v>
      </c>
      <c r="K21" s="583">
        <f t="shared" si="0"/>
        <v>77203</v>
      </c>
    </row>
    <row r="22" spans="1:11" ht="12" customHeight="1">
      <c r="A22" s="168" t="str">
        <f>'t1'!A22</f>
        <v>POSIZIONE ECONOMICA D3</v>
      </c>
      <c r="B22" s="249" t="str">
        <f>'t1'!B22</f>
        <v>050000</v>
      </c>
      <c r="C22" s="232">
        <v>144</v>
      </c>
      <c r="D22" s="230">
        <v>291271</v>
      </c>
      <c r="E22" s="230"/>
      <c r="F22" s="230">
        <v>1006</v>
      </c>
      <c r="G22" s="230">
        <v>27718</v>
      </c>
      <c r="H22" s="230">
        <v>4524</v>
      </c>
      <c r="I22" s="230">
        <v>1757</v>
      </c>
      <c r="J22" s="231"/>
      <c r="K22" s="583">
        <f t="shared" si="0"/>
        <v>326276</v>
      </c>
    </row>
    <row r="23" spans="1:11" ht="12" customHeight="1">
      <c r="A23" s="168" t="str">
        <f>'t1'!A23</f>
        <v>POSIZIONE ECONOMICA D2</v>
      </c>
      <c r="B23" s="249" t="str">
        <f>'t1'!B23</f>
        <v>049000</v>
      </c>
      <c r="C23" s="232">
        <v>480</v>
      </c>
      <c r="D23" s="230">
        <v>888474</v>
      </c>
      <c r="E23" s="230"/>
      <c r="F23" s="230">
        <v>4062</v>
      </c>
      <c r="G23" s="230">
        <v>79516</v>
      </c>
      <c r="H23" s="230">
        <v>13670</v>
      </c>
      <c r="I23" s="230">
        <v>5345</v>
      </c>
      <c r="J23" s="231">
        <v>68</v>
      </c>
      <c r="K23" s="583">
        <f t="shared" si="0"/>
        <v>990999</v>
      </c>
    </row>
    <row r="24" spans="1:11" ht="12" customHeight="1">
      <c r="A24" s="168" t="str">
        <f>'t1'!A24</f>
        <v>POSIZIONE ECONOMICA DI ACCESSO D1</v>
      </c>
      <c r="B24" s="249" t="str">
        <f>'t1'!B24</f>
        <v>057000</v>
      </c>
      <c r="C24" s="232">
        <v>36</v>
      </c>
      <c r="D24" s="230">
        <v>62971</v>
      </c>
      <c r="E24" s="230"/>
      <c r="F24" s="230">
        <v>80</v>
      </c>
      <c r="G24" s="230">
        <v>6334</v>
      </c>
      <c r="H24" s="230">
        <v>1041</v>
      </c>
      <c r="I24" s="230">
        <v>396</v>
      </c>
      <c r="J24" s="231"/>
      <c r="K24" s="583">
        <f t="shared" si="0"/>
        <v>70822</v>
      </c>
    </row>
    <row r="25" spans="1:11" ht="12" customHeight="1">
      <c r="A25" s="168" t="str">
        <f>'t1'!A25</f>
        <v>POSIZIONE ECONOMICA C5</v>
      </c>
      <c r="B25" s="249" t="str">
        <f>'t1'!B25</f>
        <v>046000</v>
      </c>
      <c r="C25" s="232">
        <v>50.27</v>
      </c>
      <c r="D25" s="230">
        <v>90209</v>
      </c>
      <c r="E25" s="230"/>
      <c r="F25" s="230">
        <v>2611</v>
      </c>
      <c r="G25" s="230">
        <v>7849</v>
      </c>
      <c r="H25" s="230">
        <v>1500</v>
      </c>
      <c r="I25" s="230">
        <v>659</v>
      </c>
      <c r="J25" s="231">
        <v>3503</v>
      </c>
      <c r="K25" s="583">
        <f t="shared" si="0"/>
        <v>99325</v>
      </c>
    </row>
    <row r="26" spans="1:11" ht="12" customHeight="1">
      <c r="A26" s="168" t="str">
        <f>'t1'!A26</f>
        <v>POSIZIONE ECONOMICA C4</v>
      </c>
      <c r="B26" s="249" t="str">
        <f>'t1'!B26</f>
        <v>045000</v>
      </c>
      <c r="C26" s="232">
        <v>241</v>
      </c>
      <c r="D26" s="230">
        <v>418234</v>
      </c>
      <c r="E26" s="230"/>
      <c r="F26" s="230">
        <v>6480</v>
      </c>
      <c r="G26" s="230">
        <v>39508</v>
      </c>
      <c r="H26" s="230">
        <v>6885</v>
      </c>
      <c r="I26" s="230">
        <v>2538</v>
      </c>
      <c r="J26" s="231"/>
      <c r="K26" s="583">
        <f t="shared" si="0"/>
        <v>473645</v>
      </c>
    </row>
    <row r="27" spans="1:11" ht="12" customHeight="1">
      <c r="A27" s="168" t="str">
        <f>'t1'!A27</f>
        <v>POSIZIONE ECONOMICA C3</v>
      </c>
      <c r="B27" s="249" t="str">
        <f>'t1'!B27</f>
        <v>043000</v>
      </c>
      <c r="C27" s="232">
        <v>372</v>
      </c>
      <c r="D27" s="230">
        <v>628451</v>
      </c>
      <c r="E27" s="230"/>
      <c r="F27" s="230">
        <v>2770</v>
      </c>
      <c r="G27" s="230">
        <v>53877</v>
      </c>
      <c r="H27" s="230">
        <v>10772</v>
      </c>
      <c r="I27" s="230">
        <v>4106</v>
      </c>
      <c r="J27" s="231"/>
      <c r="K27" s="583">
        <f t="shared" si="0"/>
        <v>699976</v>
      </c>
    </row>
    <row r="28" spans="1:11" ht="12" customHeight="1">
      <c r="A28" s="168" t="str">
        <f>'t1'!A28</f>
        <v>POSIZIONE ECONOMICA C2</v>
      </c>
      <c r="B28" s="249" t="str">
        <f>'t1'!B28</f>
        <v>042000</v>
      </c>
      <c r="C28" s="232">
        <v>467</v>
      </c>
      <c r="D28" s="230">
        <v>762931</v>
      </c>
      <c r="E28" s="230"/>
      <c r="F28" s="230">
        <v>2334</v>
      </c>
      <c r="G28" s="230">
        <v>63847</v>
      </c>
      <c r="H28" s="230">
        <v>13202</v>
      </c>
      <c r="I28" s="230">
        <v>4538</v>
      </c>
      <c r="J28" s="231">
        <v>69</v>
      </c>
      <c r="K28" s="583">
        <f t="shared" si="0"/>
        <v>846783</v>
      </c>
    </row>
    <row r="29" spans="1:11" ht="12" customHeight="1">
      <c r="A29" s="168" t="str">
        <f>'t1'!A29</f>
        <v>POSIZIONE ECONOMICA DI ACCESSO C1</v>
      </c>
      <c r="B29" s="249" t="str">
        <f>'t1'!B29</f>
        <v>056000</v>
      </c>
      <c r="C29" s="232">
        <v>9</v>
      </c>
      <c r="D29" s="230">
        <v>14551</v>
      </c>
      <c r="E29" s="230"/>
      <c r="F29" s="230">
        <v>315</v>
      </c>
      <c r="G29" s="230">
        <v>1265</v>
      </c>
      <c r="H29" s="230">
        <v>350</v>
      </c>
      <c r="I29" s="230">
        <v>117</v>
      </c>
      <c r="J29" s="231">
        <v>50</v>
      </c>
      <c r="K29" s="583">
        <f t="shared" si="0"/>
        <v>16548</v>
      </c>
    </row>
    <row r="30" spans="1:11" ht="12" customHeight="1">
      <c r="A30" s="168" t="str">
        <f>'t1'!A30</f>
        <v>POSIZ. ECON. B7 - PROFILO ACCESSO B3</v>
      </c>
      <c r="B30" s="249" t="str">
        <f>'t1'!B30</f>
        <v>0B7A00</v>
      </c>
      <c r="C30" s="232"/>
      <c r="D30" s="230"/>
      <c r="E30" s="230"/>
      <c r="F30" s="230"/>
      <c r="G30" s="230"/>
      <c r="H30" s="230"/>
      <c r="I30" s="230"/>
      <c r="J30" s="231"/>
      <c r="K30" s="583">
        <f t="shared" si="0"/>
        <v>0</v>
      </c>
    </row>
    <row r="31" spans="1:11" ht="12" customHeight="1">
      <c r="A31" s="168" t="str">
        <f>'t1'!A31</f>
        <v>POSIZ. ECON. B7 - PROFILO  ACCESSO B1</v>
      </c>
      <c r="B31" s="249" t="str">
        <f>'t1'!B31</f>
        <v>0B7000</v>
      </c>
      <c r="C31" s="232"/>
      <c r="D31" s="230"/>
      <c r="E31" s="230"/>
      <c r="F31" s="230"/>
      <c r="G31" s="230"/>
      <c r="H31" s="230"/>
      <c r="I31" s="230"/>
      <c r="J31" s="231"/>
      <c r="K31" s="583">
        <f t="shared" si="0"/>
        <v>0</v>
      </c>
    </row>
    <row r="32" spans="1:11" ht="12" customHeight="1">
      <c r="A32" s="168" t="str">
        <f>'t1'!A32</f>
        <v>POSIZ.ECON. B6 PROFILI ACCESSO B3</v>
      </c>
      <c r="B32" s="249" t="str">
        <f>'t1'!B32</f>
        <v>038490</v>
      </c>
      <c r="C32" s="232"/>
      <c r="D32" s="230"/>
      <c r="E32" s="230"/>
      <c r="F32" s="230"/>
      <c r="G32" s="230"/>
      <c r="H32" s="230"/>
      <c r="I32" s="230"/>
      <c r="J32" s="231"/>
      <c r="K32" s="583">
        <f t="shared" si="0"/>
        <v>0</v>
      </c>
    </row>
    <row r="33" spans="1:11" ht="12" customHeight="1">
      <c r="A33" s="168" t="str">
        <f>'t1'!A33</f>
        <v>POSIZ.ECON. B6 PROFILI ACCESSO B1</v>
      </c>
      <c r="B33" s="249" t="str">
        <f>'t1'!B33</f>
        <v>038491</v>
      </c>
      <c r="C33" s="232"/>
      <c r="D33" s="230"/>
      <c r="E33" s="230"/>
      <c r="F33" s="230"/>
      <c r="G33" s="230"/>
      <c r="H33" s="230"/>
      <c r="I33" s="230"/>
      <c r="J33" s="231"/>
      <c r="K33" s="583">
        <f t="shared" si="0"/>
        <v>0</v>
      </c>
    </row>
    <row r="34" spans="1:11" ht="12" customHeight="1">
      <c r="A34" s="168" t="str">
        <f>'t1'!A34</f>
        <v>POSIZ.ECON. B5 PROFILI ACCESSO B3</v>
      </c>
      <c r="B34" s="249" t="str">
        <f>'t1'!B34</f>
        <v>037492</v>
      </c>
      <c r="C34" s="232">
        <v>1</v>
      </c>
      <c r="D34" s="230">
        <v>1567</v>
      </c>
      <c r="E34" s="230"/>
      <c r="F34" s="230"/>
      <c r="G34" s="230">
        <v>2066</v>
      </c>
      <c r="H34" s="230"/>
      <c r="I34" s="230"/>
      <c r="J34" s="231"/>
      <c r="K34" s="583">
        <f t="shared" si="0"/>
        <v>3633</v>
      </c>
    </row>
    <row r="35" spans="1:11" ht="12" customHeight="1">
      <c r="A35" s="168" t="str">
        <f>'t1'!A35</f>
        <v>POSIZ.ECON. B5 PROFILI ACCESSO B1</v>
      </c>
      <c r="B35" s="249" t="str">
        <f>'t1'!B35</f>
        <v>037493</v>
      </c>
      <c r="C35" s="232"/>
      <c r="D35" s="230"/>
      <c r="E35" s="230"/>
      <c r="F35" s="230"/>
      <c r="G35" s="230"/>
      <c r="H35" s="230"/>
      <c r="I35" s="230"/>
      <c r="J35" s="231"/>
      <c r="K35" s="583">
        <f t="shared" si="0"/>
        <v>0</v>
      </c>
    </row>
    <row r="36" spans="1:11" ht="12" customHeight="1">
      <c r="A36" s="168" t="str">
        <f>'t1'!A36</f>
        <v>POSIZ.ECON. B4 PROFILI ACCESSO B3</v>
      </c>
      <c r="B36" s="249" t="str">
        <f>'t1'!B36</f>
        <v>036494</v>
      </c>
      <c r="C36" s="232">
        <v>371</v>
      </c>
      <c r="D36" s="230">
        <v>562890</v>
      </c>
      <c r="E36" s="230"/>
      <c r="F36" s="230">
        <v>154</v>
      </c>
      <c r="G36" s="230">
        <v>46324</v>
      </c>
      <c r="H36" s="230">
        <v>9324</v>
      </c>
      <c r="I36" s="230">
        <v>3445</v>
      </c>
      <c r="J36" s="231"/>
      <c r="K36" s="583">
        <f t="shared" si="0"/>
        <v>622137</v>
      </c>
    </row>
    <row r="37" spans="1:11" ht="12" customHeight="1">
      <c r="A37" s="168" t="str">
        <f>'t1'!A37</f>
        <v>POSIZ.ECON. B4 PROFILI ACCESSO B1</v>
      </c>
      <c r="B37" s="249" t="str">
        <f>'t1'!B37</f>
        <v>036495</v>
      </c>
      <c r="C37" s="232">
        <v>24</v>
      </c>
      <c r="D37" s="230">
        <v>36465</v>
      </c>
      <c r="E37" s="230"/>
      <c r="F37" s="230"/>
      <c r="G37" s="230">
        <v>3091</v>
      </c>
      <c r="H37" s="230">
        <v>602</v>
      </c>
      <c r="I37" s="230">
        <v>222</v>
      </c>
      <c r="J37" s="231"/>
      <c r="K37" s="583">
        <f t="shared" si="0"/>
        <v>40380</v>
      </c>
    </row>
    <row r="38" spans="1:11" ht="12" customHeight="1">
      <c r="A38" s="168" t="str">
        <f>'t1'!A38</f>
        <v>POSIZIONE ECONOMICA DI ACCESSO B3</v>
      </c>
      <c r="B38" s="249" t="str">
        <f>'t1'!B38</f>
        <v>055000</v>
      </c>
      <c r="C38" s="232">
        <v>144.88</v>
      </c>
      <c r="D38" s="230">
        <v>216712</v>
      </c>
      <c r="E38" s="230"/>
      <c r="F38" s="230">
        <v>498</v>
      </c>
      <c r="G38" s="230">
        <v>19054</v>
      </c>
      <c r="H38" s="230">
        <v>3928</v>
      </c>
      <c r="I38" s="230">
        <v>1423</v>
      </c>
      <c r="J38" s="231"/>
      <c r="K38" s="583">
        <f t="shared" si="0"/>
        <v>241615</v>
      </c>
    </row>
    <row r="39" spans="1:11" ht="12" customHeight="1">
      <c r="A39" s="168" t="str">
        <f>'t1'!A39</f>
        <v>POSIZIONE ECONOMICA B3</v>
      </c>
      <c r="B39" s="249" t="str">
        <f>'t1'!B39</f>
        <v>034000</v>
      </c>
      <c r="C39" s="232">
        <v>156</v>
      </c>
      <c r="D39" s="230">
        <v>233299</v>
      </c>
      <c r="E39" s="230"/>
      <c r="F39" s="230"/>
      <c r="G39" s="230">
        <v>19779</v>
      </c>
      <c r="H39" s="230">
        <v>3928</v>
      </c>
      <c r="I39" s="230">
        <v>1423</v>
      </c>
      <c r="J39" s="231"/>
      <c r="K39" s="583">
        <f t="shared" si="0"/>
        <v>258429</v>
      </c>
    </row>
    <row r="40" spans="1:11" ht="12" customHeight="1">
      <c r="A40" s="168" t="str">
        <f>'t1'!A40</f>
        <v>POSIZIONE ECONOMICA B2</v>
      </c>
      <c r="B40" s="249" t="str">
        <f>'t1'!B40</f>
        <v>032000</v>
      </c>
      <c r="C40" s="232">
        <v>120</v>
      </c>
      <c r="D40" s="230">
        <v>172350</v>
      </c>
      <c r="E40" s="230"/>
      <c r="F40" s="230">
        <v>118</v>
      </c>
      <c r="G40" s="230">
        <v>14620</v>
      </c>
      <c r="H40" s="230">
        <v>2838</v>
      </c>
      <c r="I40" s="230">
        <v>1054</v>
      </c>
      <c r="J40" s="231"/>
      <c r="K40" s="583">
        <f t="shared" si="0"/>
        <v>190980</v>
      </c>
    </row>
    <row r="41" spans="1:11" ht="12" customHeight="1">
      <c r="A41" s="168" t="str">
        <f>'t1'!A41</f>
        <v>POSIZIONE ECONOMICA DI ACCESSO B1</v>
      </c>
      <c r="B41" s="249" t="str">
        <f>'t1'!B41</f>
        <v>054000</v>
      </c>
      <c r="C41" s="232">
        <v>12</v>
      </c>
      <c r="D41" s="230">
        <v>16954</v>
      </c>
      <c r="E41" s="230"/>
      <c r="F41" s="230"/>
      <c r="G41" s="230">
        <v>1437</v>
      </c>
      <c r="H41" s="230">
        <v>286</v>
      </c>
      <c r="I41" s="230">
        <v>104</v>
      </c>
      <c r="J41" s="231"/>
      <c r="K41" s="583">
        <f t="shared" si="0"/>
        <v>18781</v>
      </c>
    </row>
    <row r="42" spans="1:11" ht="12" customHeight="1">
      <c r="A42" s="168" t="str">
        <f>'t1'!A42</f>
        <v>POSIZIONE ECONOMICA A5</v>
      </c>
      <c r="B42" s="249" t="str">
        <f>'t1'!B42</f>
        <v>0A5000</v>
      </c>
      <c r="C42" s="232"/>
      <c r="D42" s="230"/>
      <c r="E42" s="230"/>
      <c r="F42" s="230"/>
      <c r="G42" s="230"/>
      <c r="H42" s="230"/>
      <c r="I42" s="230"/>
      <c r="J42" s="231"/>
      <c r="K42" s="583">
        <f t="shared" si="0"/>
        <v>0</v>
      </c>
    </row>
    <row r="43" spans="1:11" ht="12" customHeight="1">
      <c r="A43" s="168" t="str">
        <f>'t1'!A43</f>
        <v>POSIZIONE ECONOMICA A4</v>
      </c>
      <c r="B43" s="249" t="str">
        <f>'t1'!B43</f>
        <v>028000</v>
      </c>
      <c r="C43" s="232"/>
      <c r="D43" s="230"/>
      <c r="E43" s="230"/>
      <c r="F43" s="230"/>
      <c r="G43" s="230"/>
      <c r="H43" s="230"/>
      <c r="I43" s="230"/>
      <c r="J43" s="231"/>
      <c r="K43" s="583">
        <f t="shared" si="0"/>
        <v>0</v>
      </c>
    </row>
    <row r="44" spans="1:11" ht="12" customHeight="1">
      <c r="A44" s="168" t="str">
        <f>'t1'!A44</f>
        <v>POSIZIONE ECONOMICA A3</v>
      </c>
      <c r="B44" s="249" t="str">
        <f>'t1'!B44</f>
        <v>027000</v>
      </c>
      <c r="C44" s="232"/>
      <c r="D44" s="230"/>
      <c r="E44" s="230"/>
      <c r="F44" s="230"/>
      <c r="G44" s="230"/>
      <c r="H44" s="230"/>
      <c r="I44" s="230"/>
      <c r="J44" s="231"/>
      <c r="K44" s="583">
        <f t="shared" si="0"/>
        <v>0</v>
      </c>
    </row>
    <row r="45" spans="1:11" ht="12" customHeight="1">
      <c r="A45" s="168" t="str">
        <f>'t1'!A45</f>
        <v>POSIZIONE ECONOMICA A2</v>
      </c>
      <c r="B45" s="249" t="str">
        <f>'t1'!B45</f>
        <v>025000</v>
      </c>
      <c r="C45" s="232"/>
      <c r="D45" s="230"/>
      <c r="E45" s="230"/>
      <c r="F45" s="230"/>
      <c r="G45" s="230"/>
      <c r="H45" s="230"/>
      <c r="I45" s="230"/>
      <c r="J45" s="231"/>
      <c r="K45" s="583">
        <f t="shared" si="0"/>
        <v>0</v>
      </c>
    </row>
    <row r="46" spans="1:11" ht="12" customHeight="1">
      <c r="A46" s="168" t="str">
        <f>'t1'!A46</f>
        <v>POSIZIONE ECONOMICA DI ACCESSO A1</v>
      </c>
      <c r="B46" s="249" t="str">
        <f>'t1'!B46</f>
        <v>053000</v>
      </c>
      <c r="C46" s="232">
        <v>12</v>
      </c>
      <c r="D46" s="230">
        <v>16039</v>
      </c>
      <c r="E46" s="230"/>
      <c r="F46" s="230"/>
      <c r="G46" s="230">
        <v>1463</v>
      </c>
      <c r="H46" s="230"/>
      <c r="I46" s="230"/>
      <c r="J46" s="231"/>
      <c r="K46" s="583">
        <f t="shared" si="0"/>
        <v>17502</v>
      </c>
    </row>
    <row r="47" spans="1:11" ht="12" customHeight="1">
      <c r="A47" s="168" t="str">
        <f>'t1'!A47</f>
        <v>CONTRATTISTI (a)</v>
      </c>
      <c r="B47" s="249" t="str">
        <f>'t1'!B47</f>
        <v>000061</v>
      </c>
      <c r="C47" s="232">
        <v>24</v>
      </c>
      <c r="D47" s="230">
        <v>71816</v>
      </c>
      <c r="E47" s="230"/>
      <c r="F47" s="230">
        <v>7240</v>
      </c>
      <c r="G47" s="230">
        <v>9123</v>
      </c>
      <c r="H47" s="230">
        <v>356</v>
      </c>
      <c r="I47" s="230"/>
      <c r="J47" s="231"/>
      <c r="K47" s="583">
        <f t="shared" si="0"/>
        <v>88535</v>
      </c>
    </row>
    <row r="48" spans="1:11" ht="12" customHeight="1" thickBot="1">
      <c r="A48" s="168" t="str">
        <f>'t1'!A48</f>
        <v>COLLABORATORE A TEMPO DETERMIN. (b)</v>
      </c>
      <c r="B48" s="249" t="str">
        <f>'t1'!B48</f>
        <v>000096</v>
      </c>
      <c r="C48" s="232"/>
      <c r="D48" s="230"/>
      <c r="E48" s="230"/>
      <c r="F48" s="230"/>
      <c r="G48" s="230"/>
      <c r="H48" s="230"/>
      <c r="I48" s="230"/>
      <c r="J48" s="231"/>
      <c r="K48" s="583">
        <f t="shared" si="0"/>
        <v>0</v>
      </c>
    </row>
    <row r="49" spans="1:11" ht="12" customHeight="1" thickBot="1" thickTop="1">
      <c r="A49" s="130" t="s">
        <v>78</v>
      </c>
      <c r="B49" s="131"/>
      <c r="C49" s="643">
        <f aca="true" t="shared" si="1" ref="C49:J49">SUM(C6:C48)</f>
        <v>3260.86</v>
      </c>
      <c r="D49" s="581">
        <f t="shared" si="1"/>
        <v>5824707</v>
      </c>
      <c r="E49" s="581">
        <f t="shared" si="1"/>
        <v>0</v>
      </c>
      <c r="F49" s="581">
        <f t="shared" si="1"/>
        <v>38557</v>
      </c>
      <c r="G49" s="581">
        <f t="shared" si="1"/>
        <v>549885</v>
      </c>
      <c r="H49" s="581">
        <f t="shared" si="1"/>
        <v>90201</v>
      </c>
      <c r="I49" s="581">
        <f t="shared" si="1"/>
        <v>34376</v>
      </c>
      <c r="J49" s="581">
        <f t="shared" si="1"/>
        <v>39576</v>
      </c>
      <c r="K49" s="582">
        <f t="shared" si="0"/>
        <v>6498150</v>
      </c>
    </row>
    <row r="50" spans="1:11" s="47" customFormat="1" ht="11.25">
      <c r="A50" s="26" t="s">
        <v>192</v>
      </c>
      <c r="B50" s="7"/>
      <c r="C50" s="5"/>
      <c r="D50" s="5"/>
      <c r="E50" s="5"/>
      <c r="F50" s="5"/>
      <c r="G50" s="5"/>
      <c r="H50" s="5"/>
      <c r="I50" s="5"/>
      <c r="J50" s="5"/>
      <c r="K50" s="5"/>
    </row>
    <row r="51" ht="11.25">
      <c r="A51" s="26" t="s">
        <v>448</v>
      </c>
    </row>
    <row r="52" ht="11.25">
      <c r="A52" s="5" t="s">
        <v>197</v>
      </c>
    </row>
    <row r="53" ht="11.25">
      <c r="A53" s="5" t="s">
        <v>198</v>
      </c>
    </row>
  </sheetData>
  <sheetProtection password="EA98" sheet="1" formatColumns="0" selectLockedCells="1"/>
  <mergeCells count="2">
    <mergeCell ref="H2:K2"/>
    <mergeCell ref="A1:I1"/>
  </mergeCells>
  <dataValidations count="1">
    <dataValidation type="whole" allowBlank="1" showInputMessage="1" showErrorMessage="1" errorTitle="ERRORE NEL DATO IMMESSO" error="INSERIRE SOLO NUMERI INTERI" sqref="D6:J48">
      <formula1>1</formula1>
      <formula2>999999999999</formula2>
    </dataValidation>
  </dataValidations>
  <printOptions horizontalCentered="1" verticalCentered="1"/>
  <pageMargins left="0" right="0" top="0.1968503937007874" bottom="0.17" header="0.19" footer="0.17"/>
  <pageSetup horizontalDpi="300" verticalDpi="300" orientation="landscape" paperSize="9" scale="83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0"/>
  <dimension ref="A1:T55"/>
  <sheetViews>
    <sheetView showGridLines="0" zoomScalePageLayoutView="0" workbookViewId="0" topLeftCell="A1">
      <pane xSplit="2" ySplit="5" topLeftCell="D20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O47" sqref="O47"/>
    </sheetView>
  </sheetViews>
  <sheetFormatPr defaultColWidth="9.33203125" defaultRowHeight="10.5"/>
  <cols>
    <col min="1" max="1" width="34.33203125" style="5" customWidth="1"/>
    <col min="2" max="2" width="8.66015625" style="7" customWidth="1"/>
    <col min="3" max="3" width="14.33203125" style="5" customWidth="1"/>
    <col min="4" max="9" width="12.83203125" style="5" customWidth="1"/>
    <col min="10" max="10" width="15.33203125" style="5" customWidth="1"/>
    <col min="11" max="11" width="12.83203125" style="5" customWidth="1"/>
    <col min="12" max="12" width="13.33203125" style="5" customWidth="1"/>
    <col min="13" max="13" width="12.66015625" style="5" customWidth="1"/>
    <col min="14" max="14" width="13.33203125" style="5" customWidth="1"/>
    <col min="15" max="15" width="13.66015625" style="5" customWidth="1"/>
    <col min="16" max="16" width="14.33203125" style="5" customWidth="1"/>
    <col min="17" max="16384" width="9.33203125" style="5" customWidth="1"/>
  </cols>
  <sheetData>
    <row r="1" spans="1:16" ht="36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370"/>
    </row>
    <row r="2" spans="1:16" ht="27" customHeight="1" thickBot="1">
      <c r="A2" s="6"/>
      <c r="G2" s="117"/>
      <c r="H2" s="117"/>
      <c r="I2" s="117"/>
      <c r="J2" s="117"/>
      <c r="K2" s="117"/>
      <c r="L2" s="117"/>
      <c r="M2" s="117"/>
      <c r="N2" s="117"/>
      <c r="O2" s="117"/>
      <c r="P2" s="591"/>
    </row>
    <row r="3" spans="1:16" ht="13.5" thickBot="1">
      <c r="A3" s="12"/>
      <c r="B3" s="13"/>
      <c r="C3" s="371" t="s">
        <v>277</v>
      </c>
      <c r="D3" s="17"/>
      <c r="E3" s="1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12"/>
    </row>
    <row r="4" spans="1:16" ht="48" customHeight="1" thickTop="1">
      <c r="A4" s="345" t="s">
        <v>149</v>
      </c>
      <c r="B4" s="346" t="s">
        <v>74</v>
      </c>
      <c r="C4" s="596" t="s">
        <v>555</v>
      </c>
      <c r="D4" s="596" t="s">
        <v>404</v>
      </c>
      <c r="E4" s="596" t="s">
        <v>405</v>
      </c>
      <c r="F4" s="1224" t="s">
        <v>895</v>
      </c>
      <c r="G4" s="1224" t="s">
        <v>896</v>
      </c>
      <c r="H4" s="1224" t="s">
        <v>406</v>
      </c>
      <c r="I4" s="597" t="s">
        <v>328</v>
      </c>
      <c r="J4" s="598" t="s">
        <v>684</v>
      </c>
      <c r="K4" s="598" t="s">
        <v>407</v>
      </c>
      <c r="L4" s="598" t="s">
        <v>329</v>
      </c>
      <c r="M4" s="1225" t="s">
        <v>408</v>
      </c>
      <c r="N4" s="598" t="s">
        <v>663</v>
      </c>
      <c r="O4" s="1226" t="s">
        <v>409</v>
      </c>
      <c r="P4" s="127" t="s">
        <v>164</v>
      </c>
    </row>
    <row r="5" spans="1:16" ht="14.25" customHeight="1" thickBot="1">
      <c r="A5" s="150"/>
      <c r="B5" s="128"/>
      <c r="C5" s="599" t="s">
        <v>556</v>
      </c>
      <c r="D5" s="599" t="s">
        <v>410</v>
      </c>
      <c r="E5" s="599" t="s">
        <v>411</v>
      </c>
      <c r="F5" s="599" t="s">
        <v>330</v>
      </c>
      <c r="G5" s="599" t="s">
        <v>331</v>
      </c>
      <c r="H5" s="599" t="s">
        <v>412</v>
      </c>
      <c r="I5" s="600" t="s">
        <v>332</v>
      </c>
      <c r="J5" s="600" t="s">
        <v>683</v>
      </c>
      <c r="K5" s="600" t="s">
        <v>413</v>
      </c>
      <c r="L5" s="600" t="s">
        <v>333</v>
      </c>
      <c r="M5" s="600" t="s">
        <v>334</v>
      </c>
      <c r="N5" s="600" t="s">
        <v>335</v>
      </c>
      <c r="O5" s="600" t="s">
        <v>336</v>
      </c>
      <c r="P5" s="129" t="s">
        <v>112</v>
      </c>
    </row>
    <row r="6" spans="1:16" ht="12.75" customHeight="1" thickTop="1">
      <c r="A6" s="25" t="str">
        <f>'t1'!A6</f>
        <v>SEGRETARIO A</v>
      </c>
      <c r="B6" s="257" t="str">
        <f>'t1'!B6</f>
        <v>0D0102</v>
      </c>
      <c r="C6" s="233">
        <v>274</v>
      </c>
      <c r="D6" s="233"/>
      <c r="E6" s="233"/>
      <c r="F6" s="234">
        <v>50057</v>
      </c>
      <c r="G6" s="234">
        <v>11145</v>
      </c>
      <c r="H6" s="234"/>
      <c r="I6" s="234"/>
      <c r="J6" s="234"/>
      <c r="K6" s="234"/>
      <c r="L6" s="234"/>
      <c r="M6" s="234">
        <v>201</v>
      </c>
      <c r="N6" s="234">
        <v>38604</v>
      </c>
      <c r="O6" s="234"/>
      <c r="P6" s="585">
        <f aca="true" t="shared" si="0" ref="P6:P48">SUM(C6:O6)</f>
        <v>100281</v>
      </c>
    </row>
    <row r="7" spans="1:16" ht="12.75" customHeight="1">
      <c r="A7" s="168" t="str">
        <f>'t1'!A7</f>
        <v>SEGRETARIO B</v>
      </c>
      <c r="B7" s="249" t="str">
        <f>'t1'!B7</f>
        <v>0D0103</v>
      </c>
      <c r="C7" s="233"/>
      <c r="D7" s="233"/>
      <c r="E7" s="233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585">
        <f t="shared" si="0"/>
        <v>0</v>
      </c>
    </row>
    <row r="8" spans="1:16" ht="12.75" customHeight="1">
      <c r="A8" s="168" t="str">
        <f>'t1'!A8</f>
        <v>SEGRETARIO C</v>
      </c>
      <c r="B8" s="249" t="str">
        <f>'t1'!B8</f>
        <v>0D0485</v>
      </c>
      <c r="C8" s="233"/>
      <c r="D8" s="233"/>
      <c r="E8" s="233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585">
        <f t="shared" si="0"/>
        <v>0</v>
      </c>
    </row>
    <row r="9" spans="1:16" ht="12.75" customHeight="1">
      <c r="A9" s="168" t="str">
        <f>'t1'!A9</f>
        <v>SEGRETARIO GENERALE CCIAA</v>
      </c>
      <c r="B9" s="249" t="str">
        <f>'t1'!B9</f>
        <v>0D0104</v>
      </c>
      <c r="C9" s="233"/>
      <c r="D9" s="233"/>
      <c r="E9" s="233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585">
        <f t="shared" si="0"/>
        <v>0</v>
      </c>
    </row>
    <row r="10" spans="1:16" ht="12.75" customHeight="1">
      <c r="A10" s="168" t="str">
        <f>'t1'!A10</f>
        <v>DIRETTORE  GENERALE</v>
      </c>
      <c r="B10" s="249" t="str">
        <f>'t1'!B10</f>
        <v>0D0097</v>
      </c>
      <c r="C10" s="233"/>
      <c r="D10" s="233"/>
      <c r="E10" s="233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585">
        <f t="shared" si="0"/>
        <v>0</v>
      </c>
    </row>
    <row r="11" spans="1:16" ht="12.75" customHeight="1">
      <c r="A11" s="168" t="str">
        <f>'t1'!A11</f>
        <v>DIRIGENTE FUORI D.O.</v>
      </c>
      <c r="B11" s="249" t="str">
        <f>'t1'!B11</f>
        <v>0D0098</v>
      </c>
      <c r="C11" s="233"/>
      <c r="D11" s="233"/>
      <c r="E11" s="233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585">
        <f t="shared" si="0"/>
        <v>0</v>
      </c>
    </row>
    <row r="12" spans="1:16" ht="12.75" customHeight="1">
      <c r="A12" s="168" t="str">
        <f>'t1'!A12</f>
        <v>ALTE SPECIALIZZ. FUORI D.O.</v>
      </c>
      <c r="B12" s="249" t="str">
        <f>'t1'!B12</f>
        <v>0D0095</v>
      </c>
      <c r="C12" s="233"/>
      <c r="D12" s="233"/>
      <c r="E12" s="233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585">
        <f t="shared" si="0"/>
        <v>0</v>
      </c>
    </row>
    <row r="13" spans="1:16" ht="12.75" customHeight="1">
      <c r="A13" s="168" t="str">
        <f>'t1'!A13</f>
        <v>QUALIFICA DIRIGENZIALE TEMPO INDET.</v>
      </c>
      <c r="B13" s="249" t="str">
        <f>'t1'!B13</f>
        <v>0D0100</v>
      </c>
      <c r="C13" s="233">
        <v>315</v>
      </c>
      <c r="D13" s="233"/>
      <c r="E13" s="233"/>
      <c r="F13" s="234">
        <v>40628</v>
      </c>
      <c r="G13" s="234">
        <v>13204</v>
      </c>
      <c r="H13" s="234"/>
      <c r="I13" s="234"/>
      <c r="J13" s="234"/>
      <c r="K13" s="234"/>
      <c r="L13" s="234">
        <v>1388</v>
      </c>
      <c r="M13" s="234">
        <v>231</v>
      </c>
      <c r="N13" s="234"/>
      <c r="O13" s="234"/>
      <c r="P13" s="585">
        <f t="shared" si="0"/>
        <v>55766</v>
      </c>
    </row>
    <row r="14" spans="1:16" ht="12.75" customHeight="1">
      <c r="A14" s="168" t="str">
        <f>'t1'!A14</f>
        <v>QUALIFICA DIRIGENZIALE TEMPO DETER.</v>
      </c>
      <c r="B14" s="249" t="str">
        <f>'t1'!B14</f>
        <v>0D0099</v>
      </c>
      <c r="C14" s="233">
        <v>648</v>
      </c>
      <c r="D14" s="233"/>
      <c r="E14" s="233"/>
      <c r="F14" s="234">
        <v>67973</v>
      </c>
      <c r="G14" s="234">
        <v>19069</v>
      </c>
      <c r="H14" s="234"/>
      <c r="I14" s="234"/>
      <c r="J14" s="234"/>
      <c r="K14" s="234"/>
      <c r="L14" s="234">
        <v>559</v>
      </c>
      <c r="M14" s="234"/>
      <c r="N14" s="234">
        <v>1342</v>
      </c>
      <c r="O14" s="234"/>
      <c r="P14" s="585">
        <f t="shared" si="0"/>
        <v>89591</v>
      </c>
    </row>
    <row r="15" spans="1:16" ht="12.75" customHeight="1">
      <c r="A15" s="168" t="str">
        <f>'t1'!A15</f>
        <v>POSIZ. ECON. D6 - PROFILI ACCESSO D3</v>
      </c>
      <c r="B15" s="249" t="str">
        <f>'t1'!B15</f>
        <v>0D6A00</v>
      </c>
      <c r="C15" s="233"/>
      <c r="D15" s="233">
        <v>1111</v>
      </c>
      <c r="E15" s="233"/>
      <c r="F15" s="234"/>
      <c r="G15" s="234">
        <v>12009</v>
      </c>
      <c r="H15" s="234">
        <v>5605</v>
      </c>
      <c r="I15" s="234">
        <v>1456</v>
      </c>
      <c r="J15" s="234"/>
      <c r="K15" s="234">
        <v>53978</v>
      </c>
      <c r="L15" s="234">
        <v>7900</v>
      </c>
      <c r="M15" s="234">
        <v>1444</v>
      </c>
      <c r="N15" s="234">
        <v>22051</v>
      </c>
      <c r="O15" s="234"/>
      <c r="P15" s="585">
        <f t="shared" si="0"/>
        <v>105554</v>
      </c>
    </row>
    <row r="16" spans="1:16" ht="12.75" customHeight="1">
      <c r="A16" s="168" t="str">
        <f>'t1'!A16</f>
        <v>POSIZ. ECON. D6 - PROFILO ACCESSO D1</v>
      </c>
      <c r="B16" s="249" t="str">
        <f>'t1'!B16</f>
        <v>0D6000</v>
      </c>
      <c r="C16" s="233"/>
      <c r="D16" s="233"/>
      <c r="E16" s="233"/>
      <c r="F16" s="233"/>
      <c r="G16" s="234"/>
      <c r="H16" s="234"/>
      <c r="I16" s="234"/>
      <c r="J16" s="234"/>
      <c r="K16" s="234"/>
      <c r="L16" s="234"/>
      <c r="M16" s="234"/>
      <c r="N16" s="234"/>
      <c r="O16" s="234"/>
      <c r="P16" s="585">
        <f t="shared" si="0"/>
        <v>0</v>
      </c>
    </row>
    <row r="17" spans="1:16" ht="12.75" customHeight="1">
      <c r="A17" s="168" t="str">
        <f>'t1'!A17</f>
        <v>POSIZ.ECON. D5 PROFILI ACCESSO D3</v>
      </c>
      <c r="B17" s="249" t="str">
        <f>'t1'!B17</f>
        <v>052486</v>
      </c>
      <c r="C17" s="233"/>
      <c r="D17" s="233"/>
      <c r="E17" s="233"/>
      <c r="F17" s="233">
        <v>14769</v>
      </c>
      <c r="G17" s="234">
        <v>46355</v>
      </c>
      <c r="H17" s="234">
        <v>8096</v>
      </c>
      <c r="I17" s="234"/>
      <c r="J17" s="234"/>
      <c r="K17" s="234">
        <v>104294</v>
      </c>
      <c r="L17" s="234">
        <v>13872</v>
      </c>
      <c r="M17" s="234">
        <v>2569</v>
      </c>
      <c r="N17" s="234">
        <v>54979</v>
      </c>
      <c r="O17" s="234"/>
      <c r="P17" s="585">
        <f t="shared" si="0"/>
        <v>244934</v>
      </c>
    </row>
    <row r="18" spans="1:16" ht="12.75" customHeight="1">
      <c r="A18" s="168" t="str">
        <f>'t1'!A18</f>
        <v>POSIZ.ECON. D5 PROFILI ACCESSO D1</v>
      </c>
      <c r="B18" s="249" t="str">
        <f>'t1'!B18</f>
        <v>052487</v>
      </c>
      <c r="C18" s="233"/>
      <c r="D18" s="233"/>
      <c r="E18" s="233"/>
      <c r="F18" s="233"/>
      <c r="G18" s="234"/>
      <c r="H18" s="234">
        <v>623</v>
      </c>
      <c r="I18" s="234">
        <v>360</v>
      </c>
      <c r="J18" s="234"/>
      <c r="K18" s="234">
        <v>1033</v>
      </c>
      <c r="L18" s="234">
        <v>630</v>
      </c>
      <c r="M18" s="234">
        <v>268</v>
      </c>
      <c r="N18" s="234"/>
      <c r="O18" s="234"/>
      <c r="P18" s="585">
        <f t="shared" si="0"/>
        <v>2914</v>
      </c>
    </row>
    <row r="19" spans="1:16" ht="12.75" customHeight="1">
      <c r="A19" s="168" t="str">
        <f>'t1'!A19</f>
        <v>POSIZ.ECON. D4 PROFILI ACCESSO D3</v>
      </c>
      <c r="B19" s="249" t="str">
        <f>'t1'!B19</f>
        <v>051488</v>
      </c>
      <c r="C19" s="233"/>
      <c r="D19" s="233"/>
      <c r="E19" s="233"/>
      <c r="F19" s="233"/>
      <c r="G19" s="234">
        <v>29278</v>
      </c>
      <c r="H19" s="234">
        <v>10380</v>
      </c>
      <c r="I19" s="234">
        <v>1637</v>
      </c>
      <c r="J19" s="234"/>
      <c r="K19" s="234">
        <v>117153</v>
      </c>
      <c r="L19" s="234">
        <v>15849</v>
      </c>
      <c r="M19" s="234">
        <v>6096</v>
      </c>
      <c r="N19" s="234">
        <v>14362</v>
      </c>
      <c r="O19" s="234"/>
      <c r="P19" s="585">
        <f t="shared" si="0"/>
        <v>194755</v>
      </c>
    </row>
    <row r="20" spans="1:16" ht="12.75" customHeight="1">
      <c r="A20" s="168" t="str">
        <f>'t1'!A20</f>
        <v>POSIZ.ECON. D4 PROFILI ACCESSO D1</v>
      </c>
      <c r="B20" s="249" t="str">
        <f>'t1'!B20</f>
        <v>051489</v>
      </c>
      <c r="C20" s="233"/>
      <c r="D20" s="233"/>
      <c r="E20" s="233"/>
      <c r="F20" s="234"/>
      <c r="G20" s="234"/>
      <c r="H20" s="234">
        <v>1868</v>
      </c>
      <c r="I20" s="234">
        <v>1080</v>
      </c>
      <c r="J20" s="234"/>
      <c r="K20" s="234">
        <v>3099</v>
      </c>
      <c r="L20" s="234">
        <v>3014</v>
      </c>
      <c r="M20" s="234">
        <v>3326</v>
      </c>
      <c r="N20" s="234"/>
      <c r="O20" s="234"/>
      <c r="P20" s="585">
        <f t="shared" si="0"/>
        <v>12387</v>
      </c>
    </row>
    <row r="21" spans="1:16" ht="12.75" customHeight="1">
      <c r="A21" s="168" t="str">
        <f>'t1'!A21</f>
        <v>POSIZIONE ECONOMICA DI ACCESSO D3</v>
      </c>
      <c r="B21" s="249" t="str">
        <f>'t1'!B21</f>
        <v>058000</v>
      </c>
      <c r="C21" s="233"/>
      <c r="D21" s="233"/>
      <c r="E21" s="233"/>
      <c r="F21" s="234"/>
      <c r="G21" s="234">
        <v>1417</v>
      </c>
      <c r="H21" s="234">
        <v>1868</v>
      </c>
      <c r="I21" s="234">
        <v>634</v>
      </c>
      <c r="J21" s="234"/>
      <c r="K21" s="234">
        <v>12542</v>
      </c>
      <c r="L21" s="234">
        <v>3186</v>
      </c>
      <c r="M21" s="234">
        <v>888</v>
      </c>
      <c r="N21" s="234">
        <v>85</v>
      </c>
      <c r="O21" s="234"/>
      <c r="P21" s="585">
        <f t="shared" si="0"/>
        <v>20620</v>
      </c>
    </row>
    <row r="22" spans="1:16" ht="12.75" customHeight="1">
      <c r="A22" s="168" t="str">
        <f>'t1'!A22</f>
        <v>POSIZIONE ECONOMICA D3</v>
      </c>
      <c r="B22" s="249" t="str">
        <f>'t1'!B22</f>
        <v>050000</v>
      </c>
      <c r="C22" s="233"/>
      <c r="D22" s="233">
        <v>3333</v>
      </c>
      <c r="E22" s="233"/>
      <c r="F22" s="234"/>
      <c r="G22" s="234">
        <v>8266</v>
      </c>
      <c r="H22" s="234">
        <v>7474</v>
      </c>
      <c r="I22" s="234">
        <v>2982</v>
      </c>
      <c r="J22" s="234"/>
      <c r="K22" s="234">
        <v>45310</v>
      </c>
      <c r="L22" s="234">
        <v>11490</v>
      </c>
      <c r="M22" s="234">
        <v>12657</v>
      </c>
      <c r="N22" s="234">
        <v>15817</v>
      </c>
      <c r="O22" s="234"/>
      <c r="P22" s="585">
        <f t="shared" si="0"/>
        <v>107329</v>
      </c>
    </row>
    <row r="23" spans="1:16" ht="12.75" customHeight="1">
      <c r="A23" s="168" t="str">
        <f>'t1'!A23</f>
        <v>POSIZIONE ECONOMICA D2</v>
      </c>
      <c r="B23" s="249" t="str">
        <f>'t1'!B23</f>
        <v>049000</v>
      </c>
      <c r="C23" s="233"/>
      <c r="D23" s="233">
        <v>3333</v>
      </c>
      <c r="E23" s="233"/>
      <c r="F23" s="230"/>
      <c r="G23" s="234">
        <v>22911</v>
      </c>
      <c r="H23" s="234">
        <v>24912</v>
      </c>
      <c r="I23" s="235">
        <v>21217</v>
      </c>
      <c r="J23" s="234"/>
      <c r="K23" s="234">
        <v>93946</v>
      </c>
      <c r="L23" s="234">
        <v>39625</v>
      </c>
      <c r="M23" s="234">
        <v>21811</v>
      </c>
      <c r="N23" s="234">
        <v>46042</v>
      </c>
      <c r="O23" s="234"/>
      <c r="P23" s="585">
        <f t="shared" si="0"/>
        <v>273797</v>
      </c>
    </row>
    <row r="24" spans="1:16" ht="12.75" customHeight="1">
      <c r="A24" s="168" t="str">
        <f>'t1'!A24</f>
        <v>POSIZIONE ECONOMICA DI ACCESSO D1</v>
      </c>
      <c r="B24" s="249" t="str">
        <f>'t1'!B24</f>
        <v>057000</v>
      </c>
      <c r="C24" s="233"/>
      <c r="D24" s="233"/>
      <c r="E24" s="233"/>
      <c r="F24" s="230"/>
      <c r="G24" s="234">
        <v>1426</v>
      </c>
      <c r="H24" s="234">
        <v>1868</v>
      </c>
      <c r="I24" s="235">
        <v>112</v>
      </c>
      <c r="J24" s="234"/>
      <c r="K24" s="234">
        <v>20445</v>
      </c>
      <c r="L24" s="234">
        <v>2604</v>
      </c>
      <c r="M24" s="234">
        <v>1087</v>
      </c>
      <c r="N24" s="234">
        <v>12944</v>
      </c>
      <c r="O24" s="234"/>
      <c r="P24" s="585">
        <f t="shared" si="0"/>
        <v>40486</v>
      </c>
    </row>
    <row r="25" spans="1:16" ht="12.75" customHeight="1">
      <c r="A25" s="168" t="str">
        <f>'t1'!A25</f>
        <v>POSIZIONE ECONOMICA C5</v>
      </c>
      <c r="B25" s="249" t="str">
        <f>'t1'!B25</f>
        <v>046000</v>
      </c>
      <c r="C25" s="233"/>
      <c r="D25" s="233">
        <v>2222</v>
      </c>
      <c r="E25" s="233"/>
      <c r="F25" s="230"/>
      <c r="G25" s="234"/>
      <c r="H25" s="234">
        <v>2302</v>
      </c>
      <c r="I25" s="235">
        <v>1456</v>
      </c>
      <c r="J25" s="234"/>
      <c r="K25" s="234"/>
      <c r="L25" s="234">
        <v>3864</v>
      </c>
      <c r="M25" s="234">
        <v>3136</v>
      </c>
      <c r="N25" s="234">
        <v>15032</v>
      </c>
      <c r="O25" s="234"/>
      <c r="P25" s="585">
        <f t="shared" si="0"/>
        <v>28012</v>
      </c>
    </row>
    <row r="26" spans="1:16" ht="12.75" customHeight="1">
      <c r="A26" s="168" t="str">
        <f>'t1'!A26</f>
        <v>POSIZIONE ECONOMICA C4</v>
      </c>
      <c r="B26" s="249" t="str">
        <f>'t1'!B26</f>
        <v>045000</v>
      </c>
      <c r="C26" s="233"/>
      <c r="D26" s="233">
        <v>11554</v>
      </c>
      <c r="E26" s="233"/>
      <c r="F26" s="230"/>
      <c r="G26" s="234"/>
      <c r="H26" s="234">
        <v>11043</v>
      </c>
      <c r="I26" s="235">
        <v>36514</v>
      </c>
      <c r="J26" s="234"/>
      <c r="K26" s="234">
        <v>993</v>
      </c>
      <c r="L26" s="234">
        <v>20132</v>
      </c>
      <c r="M26" s="234">
        <v>15567</v>
      </c>
      <c r="N26" s="234">
        <v>4292</v>
      </c>
      <c r="O26" s="234">
        <v>3094</v>
      </c>
      <c r="P26" s="585">
        <f t="shared" si="0"/>
        <v>103189</v>
      </c>
    </row>
    <row r="27" spans="1:16" ht="12.75" customHeight="1">
      <c r="A27" s="168" t="str">
        <f>'t1'!A27</f>
        <v>POSIZIONE ECONOMICA C3</v>
      </c>
      <c r="B27" s="249" t="str">
        <f>'t1'!B27</f>
        <v>043000</v>
      </c>
      <c r="C27" s="233"/>
      <c r="D27" s="233">
        <v>11500</v>
      </c>
      <c r="E27" s="233"/>
      <c r="F27" s="230">
        <v>7945</v>
      </c>
      <c r="G27" s="234">
        <v>303</v>
      </c>
      <c r="H27" s="234">
        <v>17101</v>
      </c>
      <c r="I27" s="235">
        <v>14204</v>
      </c>
      <c r="J27" s="234"/>
      <c r="K27" s="234">
        <v>8605</v>
      </c>
      <c r="L27" s="234">
        <v>35977</v>
      </c>
      <c r="M27" s="234">
        <v>22749</v>
      </c>
      <c r="N27" s="234">
        <v>40911</v>
      </c>
      <c r="O27" s="234">
        <v>4090</v>
      </c>
      <c r="P27" s="585">
        <f t="shared" si="0"/>
        <v>163385</v>
      </c>
    </row>
    <row r="28" spans="1:16" ht="12.75" customHeight="1">
      <c r="A28" s="168" t="str">
        <f>'t1'!A28</f>
        <v>POSIZIONE ECONOMICA C2</v>
      </c>
      <c r="B28" s="249" t="str">
        <f>'t1'!B28</f>
        <v>042000</v>
      </c>
      <c r="C28" s="233"/>
      <c r="D28" s="233">
        <v>13853</v>
      </c>
      <c r="E28" s="233"/>
      <c r="F28" s="230"/>
      <c r="G28" s="236"/>
      <c r="H28" s="236">
        <v>21389</v>
      </c>
      <c r="I28" s="236">
        <v>38601</v>
      </c>
      <c r="J28" s="234"/>
      <c r="K28" s="234">
        <v>8125</v>
      </c>
      <c r="L28" s="234">
        <v>35625</v>
      </c>
      <c r="M28" s="234">
        <v>25575</v>
      </c>
      <c r="N28" s="234">
        <v>16712</v>
      </c>
      <c r="O28" s="234">
        <v>3495</v>
      </c>
      <c r="P28" s="585">
        <f t="shared" si="0"/>
        <v>163375</v>
      </c>
    </row>
    <row r="29" spans="1:16" ht="12.75" customHeight="1">
      <c r="A29" s="168" t="str">
        <f>'t1'!A29</f>
        <v>POSIZIONE ECONOMICA DI ACCESSO C1</v>
      </c>
      <c r="B29" s="249" t="str">
        <f>'t1'!B29</f>
        <v>056000</v>
      </c>
      <c r="C29" s="233"/>
      <c r="D29" s="233"/>
      <c r="E29" s="233"/>
      <c r="F29" s="233"/>
      <c r="G29" s="234"/>
      <c r="H29" s="234">
        <v>412</v>
      </c>
      <c r="I29" s="235">
        <v>240</v>
      </c>
      <c r="J29" s="234"/>
      <c r="K29" s="234"/>
      <c r="L29" s="234">
        <v>148</v>
      </c>
      <c r="M29" s="234">
        <v>110</v>
      </c>
      <c r="N29" s="234"/>
      <c r="O29" s="234"/>
      <c r="P29" s="585">
        <f t="shared" si="0"/>
        <v>910</v>
      </c>
    </row>
    <row r="30" spans="1:16" ht="12.75" customHeight="1">
      <c r="A30" s="168" t="str">
        <f>'t1'!A30</f>
        <v>POSIZ. ECON. B7 - PROFILO ACCESSO B3</v>
      </c>
      <c r="B30" s="249" t="str">
        <f>'t1'!B30</f>
        <v>0B7A00</v>
      </c>
      <c r="C30" s="233"/>
      <c r="D30" s="233"/>
      <c r="E30" s="233"/>
      <c r="F30" s="233"/>
      <c r="G30" s="234"/>
      <c r="H30" s="234"/>
      <c r="I30" s="234"/>
      <c r="J30" s="234"/>
      <c r="K30" s="234"/>
      <c r="L30" s="234"/>
      <c r="M30" s="234"/>
      <c r="N30" s="234"/>
      <c r="O30" s="234"/>
      <c r="P30" s="585">
        <f t="shared" si="0"/>
        <v>0</v>
      </c>
    </row>
    <row r="31" spans="1:16" ht="12.75" customHeight="1">
      <c r="A31" s="168" t="str">
        <f>'t1'!A31</f>
        <v>POSIZ. ECON. B7 - PROFILO  ACCESSO B1</v>
      </c>
      <c r="B31" s="249" t="str">
        <f>'t1'!B31</f>
        <v>0B7000</v>
      </c>
      <c r="C31" s="233"/>
      <c r="D31" s="233"/>
      <c r="E31" s="233"/>
      <c r="F31" s="233"/>
      <c r="G31" s="234"/>
      <c r="H31" s="234"/>
      <c r="I31" s="234"/>
      <c r="J31" s="234"/>
      <c r="K31" s="234"/>
      <c r="L31" s="234"/>
      <c r="M31" s="234"/>
      <c r="N31" s="234"/>
      <c r="O31" s="234"/>
      <c r="P31" s="585">
        <f t="shared" si="0"/>
        <v>0</v>
      </c>
    </row>
    <row r="32" spans="1:16" ht="12.75" customHeight="1">
      <c r="A32" s="168" t="str">
        <f>'t1'!A32</f>
        <v>POSIZ.ECON. B6 PROFILI ACCESSO B3</v>
      </c>
      <c r="B32" s="249" t="str">
        <f>'t1'!B32</f>
        <v>038490</v>
      </c>
      <c r="C32" s="233"/>
      <c r="D32" s="233"/>
      <c r="E32" s="233"/>
      <c r="F32" s="233"/>
      <c r="G32" s="234"/>
      <c r="H32" s="234"/>
      <c r="I32" s="234"/>
      <c r="J32" s="234"/>
      <c r="K32" s="234"/>
      <c r="L32" s="234"/>
      <c r="M32" s="234"/>
      <c r="N32" s="234"/>
      <c r="O32" s="234"/>
      <c r="P32" s="585">
        <f t="shared" si="0"/>
        <v>0</v>
      </c>
    </row>
    <row r="33" spans="1:16" ht="12.75" customHeight="1">
      <c r="A33" s="168" t="str">
        <f>'t1'!A33</f>
        <v>POSIZ.ECON. B6 PROFILI ACCESSO B1</v>
      </c>
      <c r="B33" s="249" t="str">
        <f>'t1'!B33</f>
        <v>038491</v>
      </c>
      <c r="C33" s="233"/>
      <c r="D33" s="233"/>
      <c r="E33" s="233"/>
      <c r="F33" s="233"/>
      <c r="G33" s="234"/>
      <c r="H33" s="234"/>
      <c r="I33" s="234"/>
      <c r="J33" s="234"/>
      <c r="K33" s="234"/>
      <c r="L33" s="234"/>
      <c r="M33" s="234"/>
      <c r="N33" s="234"/>
      <c r="O33" s="234"/>
      <c r="P33" s="585">
        <f t="shared" si="0"/>
        <v>0</v>
      </c>
    </row>
    <row r="34" spans="1:16" ht="12.75" customHeight="1">
      <c r="A34" s="168" t="str">
        <f>'t1'!A34</f>
        <v>POSIZ.ECON. B5 PROFILI ACCESSO B3</v>
      </c>
      <c r="B34" s="249" t="str">
        <f>'t1'!B34</f>
        <v>037492</v>
      </c>
      <c r="C34" s="233"/>
      <c r="D34" s="233">
        <v>500</v>
      </c>
      <c r="E34" s="233"/>
      <c r="F34" s="233"/>
      <c r="G34" s="234"/>
      <c r="H34" s="234">
        <v>39</v>
      </c>
      <c r="I34" s="234">
        <v>30</v>
      </c>
      <c r="J34" s="234"/>
      <c r="K34" s="234"/>
      <c r="L34" s="234"/>
      <c r="M34" s="234"/>
      <c r="N34" s="234"/>
      <c r="O34" s="234"/>
      <c r="P34" s="585">
        <f t="shared" si="0"/>
        <v>569</v>
      </c>
    </row>
    <row r="35" spans="1:16" ht="12.75" customHeight="1">
      <c r="A35" s="168" t="str">
        <f>'t1'!A35</f>
        <v>POSIZ.ECON. B5 PROFILI ACCESSO B1</v>
      </c>
      <c r="B35" s="249" t="str">
        <f>'t1'!B35</f>
        <v>037493</v>
      </c>
      <c r="C35" s="233"/>
      <c r="D35" s="233"/>
      <c r="E35" s="233"/>
      <c r="F35" s="233"/>
      <c r="G35" s="234"/>
      <c r="H35" s="234"/>
      <c r="I35" s="234"/>
      <c r="J35" s="234"/>
      <c r="K35" s="234"/>
      <c r="L35" s="234"/>
      <c r="M35" s="234"/>
      <c r="N35" s="234"/>
      <c r="O35" s="234"/>
      <c r="P35" s="585">
        <f t="shared" si="0"/>
        <v>0</v>
      </c>
    </row>
    <row r="36" spans="1:16" ht="12.75" customHeight="1">
      <c r="A36" s="168" t="str">
        <f>'t1'!A36</f>
        <v>POSIZ.ECON. B4 PROFILI ACCESSO B3</v>
      </c>
      <c r="B36" s="249" t="str">
        <f>'t1'!B36</f>
        <v>036494</v>
      </c>
      <c r="C36" s="233"/>
      <c r="D36" s="233">
        <v>5487</v>
      </c>
      <c r="E36" s="233"/>
      <c r="F36" s="233"/>
      <c r="G36" s="234"/>
      <c r="H36" s="234">
        <v>14584</v>
      </c>
      <c r="I36" s="234">
        <v>49885</v>
      </c>
      <c r="J36" s="234"/>
      <c r="K36" s="234"/>
      <c r="L36" s="234">
        <v>18417</v>
      </c>
      <c r="M36" s="234">
        <v>27753</v>
      </c>
      <c r="N36" s="234">
        <v>953</v>
      </c>
      <c r="O36" s="234">
        <v>2783</v>
      </c>
      <c r="P36" s="585">
        <f t="shared" si="0"/>
        <v>119862</v>
      </c>
    </row>
    <row r="37" spans="1:16" ht="12.75" customHeight="1">
      <c r="A37" s="168" t="str">
        <f>'t1'!A37</f>
        <v>POSIZ.ECON. B4 PROFILI ACCESSO B1</v>
      </c>
      <c r="B37" s="249" t="str">
        <f>'t1'!B37</f>
        <v>036495</v>
      </c>
      <c r="C37" s="233"/>
      <c r="D37" s="233"/>
      <c r="E37" s="233"/>
      <c r="F37" s="233"/>
      <c r="G37" s="234"/>
      <c r="H37" s="234">
        <v>943</v>
      </c>
      <c r="I37" s="234">
        <v>720</v>
      </c>
      <c r="J37" s="234"/>
      <c r="K37" s="234"/>
      <c r="L37" s="234">
        <v>1095</v>
      </c>
      <c r="M37" s="234">
        <v>600</v>
      </c>
      <c r="N37" s="234">
        <v>129</v>
      </c>
      <c r="O37" s="234"/>
      <c r="P37" s="585">
        <f t="shared" si="0"/>
        <v>3487</v>
      </c>
    </row>
    <row r="38" spans="1:16" ht="12.75" customHeight="1">
      <c r="A38" s="168" t="str">
        <f>'t1'!A38</f>
        <v>POSIZIONE ECONOMICA DI ACCESSO B3</v>
      </c>
      <c r="B38" s="249" t="str">
        <f>'t1'!B38</f>
        <v>055000</v>
      </c>
      <c r="C38" s="233"/>
      <c r="D38" s="233">
        <v>780</v>
      </c>
      <c r="E38" s="233"/>
      <c r="F38" s="233"/>
      <c r="G38" s="234"/>
      <c r="H38" s="234">
        <v>5695</v>
      </c>
      <c r="I38" s="234">
        <v>11141</v>
      </c>
      <c r="J38" s="234"/>
      <c r="K38" s="234"/>
      <c r="L38" s="234">
        <v>6357</v>
      </c>
      <c r="M38" s="234">
        <v>3187</v>
      </c>
      <c r="N38" s="234">
        <v>8496</v>
      </c>
      <c r="O38" s="234"/>
      <c r="P38" s="585">
        <f t="shared" si="0"/>
        <v>35656</v>
      </c>
    </row>
    <row r="39" spans="1:16" ht="12.75" customHeight="1">
      <c r="A39" s="168" t="str">
        <f>'t1'!A39</f>
        <v>POSIZIONE ECONOMICA B3</v>
      </c>
      <c r="B39" s="249" t="str">
        <f>'t1'!B39</f>
        <v>034000</v>
      </c>
      <c r="C39" s="233"/>
      <c r="D39" s="233"/>
      <c r="E39" s="233"/>
      <c r="F39" s="233"/>
      <c r="G39" s="234"/>
      <c r="H39" s="234">
        <v>6132</v>
      </c>
      <c r="I39" s="234">
        <v>4680</v>
      </c>
      <c r="J39" s="234"/>
      <c r="K39" s="234"/>
      <c r="L39" s="234">
        <v>9604</v>
      </c>
      <c r="M39" s="234">
        <v>10809</v>
      </c>
      <c r="N39" s="234">
        <v>1968</v>
      </c>
      <c r="O39" s="234">
        <v>3376</v>
      </c>
      <c r="P39" s="585">
        <f t="shared" si="0"/>
        <v>36569</v>
      </c>
    </row>
    <row r="40" spans="1:16" ht="12.75" customHeight="1">
      <c r="A40" s="168" t="str">
        <f>'t1'!A40</f>
        <v>POSIZIONE ECONOMICA B2</v>
      </c>
      <c r="B40" s="249" t="str">
        <f>'t1'!B40</f>
        <v>032000</v>
      </c>
      <c r="C40" s="233"/>
      <c r="D40" s="233"/>
      <c r="E40" s="233"/>
      <c r="F40" s="233"/>
      <c r="G40" s="234"/>
      <c r="H40" s="234">
        <v>4717</v>
      </c>
      <c r="I40" s="234">
        <v>3600</v>
      </c>
      <c r="J40" s="234"/>
      <c r="K40" s="234"/>
      <c r="L40" s="234">
        <v>4933</v>
      </c>
      <c r="M40" s="234">
        <v>8904</v>
      </c>
      <c r="N40" s="234">
        <v>652</v>
      </c>
      <c r="O40" s="234">
        <v>351</v>
      </c>
      <c r="P40" s="585">
        <f t="shared" si="0"/>
        <v>23157</v>
      </c>
    </row>
    <row r="41" spans="1:16" ht="12.75" customHeight="1">
      <c r="A41" s="168" t="str">
        <f>'t1'!A41</f>
        <v>POSIZIONE ECONOMICA DI ACCESSO B1</v>
      </c>
      <c r="B41" s="249" t="str">
        <f>'t1'!B41</f>
        <v>054000</v>
      </c>
      <c r="C41" s="233"/>
      <c r="D41" s="233"/>
      <c r="E41" s="233"/>
      <c r="F41" s="233"/>
      <c r="G41" s="234"/>
      <c r="H41" s="234">
        <v>472</v>
      </c>
      <c r="I41" s="234">
        <v>360</v>
      </c>
      <c r="J41" s="234"/>
      <c r="K41" s="234"/>
      <c r="L41" s="234">
        <v>488</v>
      </c>
      <c r="M41" s="234">
        <v>310</v>
      </c>
      <c r="N41" s="234">
        <v>65</v>
      </c>
      <c r="O41" s="234"/>
      <c r="P41" s="585">
        <f t="shared" si="0"/>
        <v>1695</v>
      </c>
    </row>
    <row r="42" spans="1:16" ht="12.75" customHeight="1">
      <c r="A42" s="168" t="str">
        <f>'t1'!A42</f>
        <v>POSIZIONE ECONOMICA A5</v>
      </c>
      <c r="B42" s="249" t="str">
        <f>'t1'!B42</f>
        <v>0A5000</v>
      </c>
      <c r="C42" s="233"/>
      <c r="D42" s="233"/>
      <c r="E42" s="233"/>
      <c r="F42" s="233"/>
      <c r="G42" s="234"/>
      <c r="H42" s="234"/>
      <c r="I42" s="234"/>
      <c r="J42" s="234"/>
      <c r="K42" s="234"/>
      <c r="L42" s="234"/>
      <c r="M42" s="234"/>
      <c r="N42" s="234"/>
      <c r="O42" s="234"/>
      <c r="P42" s="585">
        <f t="shared" si="0"/>
        <v>0</v>
      </c>
    </row>
    <row r="43" spans="1:16" ht="12.75" customHeight="1">
      <c r="A43" s="168" t="str">
        <f>'t1'!A43</f>
        <v>POSIZIONE ECONOMICA A4</v>
      </c>
      <c r="B43" s="249" t="str">
        <f>'t1'!B43</f>
        <v>028000</v>
      </c>
      <c r="C43" s="233"/>
      <c r="D43" s="233"/>
      <c r="E43" s="233"/>
      <c r="F43" s="233"/>
      <c r="G43" s="234"/>
      <c r="H43" s="234"/>
      <c r="I43" s="234"/>
      <c r="J43" s="234"/>
      <c r="K43" s="234"/>
      <c r="L43" s="234"/>
      <c r="M43" s="234"/>
      <c r="N43" s="234"/>
      <c r="O43" s="234"/>
      <c r="P43" s="585">
        <f t="shared" si="0"/>
        <v>0</v>
      </c>
    </row>
    <row r="44" spans="1:16" ht="12.75" customHeight="1">
      <c r="A44" s="168" t="str">
        <f>'t1'!A44</f>
        <v>POSIZIONE ECONOMICA A3</v>
      </c>
      <c r="B44" s="249" t="str">
        <f>'t1'!B44</f>
        <v>027000</v>
      </c>
      <c r="C44" s="233"/>
      <c r="D44" s="233"/>
      <c r="E44" s="233"/>
      <c r="F44" s="233"/>
      <c r="G44" s="234"/>
      <c r="H44" s="234"/>
      <c r="I44" s="234"/>
      <c r="J44" s="234"/>
      <c r="K44" s="234"/>
      <c r="L44" s="234"/>
      <c r="M44" s="234"/>
      <c r="N44" s="234"/>
      <c r="O44" s="234"/>
      <c r="P44" s="585">
        <f t="shared" si="0"/>
        <v>0</v>
      </c>
    </row>
    <row r="45" spans="1:16" ht="12.75" customHeight="1">
      <c r="A45" s="168" t="str">
        <f>'t1'!A45</f>
        <v>POSIZIONE ECONOMICA A2</v>
      </c>
      <c r="B45" s="249" t="str">
        <f>'t1'!B45</f>
        <v>025000</v>
      </c>
      <c r="C45" s="233"/>
      <c r="D45" s="233"/>
      <c r="E45" s="233"/>
      <c r="F45" s="233"/>
      <c r="G45" s="234"/>
      <c r="H45" s="234"/>
      <c r="I45" s="234"/>
      <c r="J45" s="234"/>
      <c r="K45" s="234"/>
      <c r="L45" s="234"/>
      <c r="M45" s="234"/>
      <c r="N45" s="234"/>
      <c r="O45" s="234"/>
      <c r="P45" s="585">
        <f t="shared" si="0"/>
        <v>0</v>
      </c>
    </row>
    <row r="46" spans="1:16" ht="12.75" customHeight="1">
      <c r="A46" s="168" t="str">
        <f>'t1'!A46</f>
        <v>POSIZIONE ECONOMICA DI ACCESSO A1</v>
      </c>
      <c r="B46" s="249" t="str">
        <f>'t1'!B46</f>
        <v>053000</v>
      </c>
      <c r="C46" s="233"/>
      <c r="D46" s="233"/>
      <c r="E46" s="233"/>
      <c r="F46" s="233"/>
      <c r="G46" s="234"/>
      <c r="H46" s="234">
        <v>389</v>
      </c>
      <c r="I46" s="234">
        <v>360</v>
      </c>
      <c r="J46" s="234"/>
      <c r="K46" s="234"/>
      <c r="L46" s="234">
        <v>382</v>
      </c>
      <c r="M46" s="234">
        <v>3619</v>
      </c>
      <c r="N46" s="234">
        <v>1568</v>
      </c>
      <c r="O46" s="234"/>
      <c r="P46" s="585">
        <f t="shared" si="0"/>
        <v>6318</v>
      </c>
    </row>
    <row r="47" spans="1:16" ht="12.75" customHeight="1">
      <c r="A47" s="168" t="str">
        <f>'t1'!A47</f>
        <v>CONTRATTISTI (a)</v>
      </c>
      <c r="B47" s="249" t="str">
        <f>'t1'!B47</f>
        <v>000061</v>
      </c>
      <c r="C47" s="233"/>
      <c r="D47" s="233"/>
      <c r="E47" s="233"/>
      <c r="F47" s="233"/>
      <c r="G47" s="234"/>
      <c r="H47" s="234"/>
      <c r="I47" s="234">
        <v>4136</v>
      </c>
      <c r="J47" s="234"/>
      <c r="K47" s="234"/>
      <c r="L47" s="234">
        <v>1142</v>
      </c>
      <c r="M47" s="234"/>
      <c r="N47" s="234">
        <v>14273</v>
      </c>
      <c r="O47" s="234"/>
      <c r="P47" s="585">
        <f t="shared" si="0"/>
        <v>19551</v>
      </c>
    </row>
    <row r="48" spans="1:16" ht="12.75" customHeight="1" thickBot="1">
      <c r="A48" s="168" t="str">
        <f>'t1'!A48</f>
        <v>COLLABORATORE A TEMPO DETERMIN. (b)</v>
      </c>
      <c r="B48" s="249" t="str">
        <f>'t1'!B48</f>
        <v>000096</v>
      </c>
      <c r="C48" s="233"/>
      <c r="D48" s="233"/>
      <c r="E48" s="233"/>
      <c r="F48" s="233"/>
      <c r="G48" s="234"/>
      <c r="H48" s="234"/>
      <c r="I48" s="234"/>
      <c r="J48" s="234"/>
      <c r="K48" s="234"/>
      <c r="L48" s="234"/>
      <c r="M48" s="234"/>
      <c r="N48" s="234"/>
      <c r="O48" s="234"/>
      <c r="P48" s="585">
        <f t="shared" si="0"/>
        <v>0</v>
      </c>
    </row>
    <row r="49" spans="1:16" ht="15" customHeight="1" thickBot="1" thickTop="1">
      <c r="A49" s="178" t="s">
        <v>78</v>
      </c>
      <c r="B49" s="131"/>
      <c r="C49" s="584">
        <f aca="true" t="shared" si="1" ref="C49:P49">SUM(C6:C48)</f>
        <v>1237</v>
      </c>
      <c r="D49" s="584">
        <f>SUM(D6:D48)</f>
        <v>53673</v>
      </c>
      <c r="E49" s="584">
        <f t="shared" si="1"/>
        <v>0</v>
      </c>
      <c r="F49" s="584">
        <f t="shared" si="1"/>
        <v>181372</v>
      </c>
      <c r="G49" s="584">
        <f t="shared" si="1"/>
        <v>165383</v>
      </c>
      <c r="H49" s="584">
        <f t="shared" si="1"/>
        <v>147912</v>
      </c>
      <c r="I49" s="584">
        <f t="shared" si="1"/>
        <v>195405</v>
      </c>
      <c r="J49" s="584">
        <f>SUM(J6:J48)</f>
        <v>0</v>
      </c>
      <c r="K49" s="584">
        <f t="shared" si="1"/>
        <v>469523</v>
      </c>
      <c r="L49" s="584">
        <f t="shared" si="1"/>
        <v>238281</v>
      </c>
      <c r="M49" s="584">
        <f t="shared" si="1"/>
        <v>172897</v>
      </c>
      <c r="N49" s="584">
        <f t="shared" si="1"/>
        <v>311277</v>
      </c>
      <c r="O49" s="584">
        <f t="shared" si="1"/>
        <v>17189</v>
      </c>
      <c r="P49" s="582">
        <f t="shared" si="1"/>
        <v>1954149</v>
      </c>
    </row>
    <row r="50" spans="1:20" ht="11.25">
      <c r="A50" s="26" t="s">
        <v>192</v>
      </c>
      <c r="P50" s="47"/>
      <c r="Q50" s="47"/>
      <c r="R50" s="47"/>
      <c r="S50" s="47"/>
      <c r="T50" s="47"/>
    </row>
    <row r="51" ht="11.25">
      <c r="A51" s="26" t="s">
        <v>448</v>
      </c>
    </row>
    <row r="52" spans="1:20" ht="11.25">
      <c r="A52" s="5" t="s">
        <v>197</v>
      </c>
      <c r="B52" s="65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</row>
    <row r="53" ht="11.25">
      <c r="A53" s="170"/>
    </row>
    <row r="54" ht="11.25">
      <c r="A54" s="170"/>
    </row>
    <row r="55" ht="11.25">
      <c r="A55" s="3"/>
    </row>
  </sheetData>
  <sheetProtection password="EA98" sheet="1" formatColumns="0" selectLockedCells="1"/>
  <mergeCells count="1">
    <mergeCell ref="A1:O1"/>
  </mergeCells>
  <dataValidations count="1">
    <dataValidation type="whole" allowBlank="1" showInputMessage="1" showErrorMessage="1" errorTitle="ERRORE NEL DATO IMMESSO" error="INSERIRE SOLO NUMERI INTERI" sqref="C6:O48">
      <formula1>1</formula1>
      <formula2>999999999999</formula2>
    </dataValidation>
  </dataValidations>
  <printOptions horizontalCentered="1" verticalCentered="1"/>
  <pageMargins left="0" right="0" top="0.17" bottom="0.17" header="0.19" footer="0.19"/>
  <pageSetup horizontalDpi="300" verticalDpi="300" orientation="landscape" paperSize="9" scale="8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1"/>
  <dimension ref="A1:M28"/>
  <sheetViews>
    <sheetView showGridLines="0" zoomScalePageLayoutView="0" workbookViewId="0" topLeftCell="A1">
      <pane xSplit="2" ySplit="3" topLeftCell="C10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C4" sqref="C4"/>
    </sheetView>
  </sheetViews>
  <sheetFormatPr defaultColWidth="9.33203125" defaultRowHeight="10.5"/>
  <cols>
    <col min="1" max="1" width="100.83203125" style="0" customWidth="1"/>
    <col min="2" max="2" width="18" style="0" customWidth="1"/>
    <col min="3" max="3" width="38.66015625" style="0" customWidth="1"/>
  </cols>
  <sheetData>
    <row r="1" spans="1:13" s="5" customFormat="1" ht="43.5" customHeight="1">
      <c r="A1" s="1392" t="str">
        <f>'t1'!A1</f>
        <v>COMPARTO REGIONI ED AUTONOMIE LOCALI</v>
      </c>
      <c r="B1" s="1392"/>
      <c r="C1" s="370"/>
      <c r="D1" s="3"/>
      <c r="E1" s="3"/>
      <c r="F1" s="3"/>
      <c r="G1" s="4"/>
      <c r="H1" s="3"/>
      <c r="I1" s="3"/>
      <c r="J1" s="3"/>
      <c r="K1" s="3"/>
      <c r="M1"/>
    </row>
    <row r="2" spans="1:3" ht="30" customHeight="1" thickBot="1">
      <c r="A2" s="6"/>
      <c r="B2" s="1397"/>
      <c r="C2" s="1397"/>
    </row>
    <row r="3" spans="1:3" ht="21.75" customHeight="1" thickBot="1">
      <c r="A3" s="118" t="s">
        <v>133</v>
      </c>
      <c r="B3" s="347" t="s">
        <v>106</v>
      </c>
      <c r="C3" s="348" t="s">
        <v>108</v>
      </c>
    </row>
    <row r="4" spans="1:3" s="120" customFormat="1" ht="23.25" customHeight="1" thickTop="1">
      <c r="A4" s="119" t="s">
        <v>160</v>
      </c>
      <c r="B4" s="187" t="s">
        <v>165</v>
      </c>
      <c r="C4" s="237">
        <v>309417</v>
      </c>
    </row>
    <row r="5" spans="1:3" s="120" customFormat="1" ht="23.25" customHeight="1">
      <c r="A5" s="124" t="s">
        <v>154</v>
      </c>
      <c r="B5" s="188" t="s">
        <v>177</v>
      </c>
      <c r="C5" s="237"/>
    </row>
    <row r="6" spans="1:3" s="120" customFormat="1" ht="23.25" customHeight="1">
      <c r="A6" s="124" t="s">
        <v>151</v>
      </c>
      <c r="B6" s="175" t="s">
        <v>178</v>
      </c>
      <c r="C6" s="237">
        <v>100705</v>
      </c>
    </row>
    <row r="7" spans="1:3" s="120" customFormat="1" ht="23.25" customHeight="1">
      <c r="A7" s="124" t="s">
        <v>157</v>
      </c>
      <c r="B7" s="189" t="s">
        <v>179</v>
      </c>
      <c r="C7" s="237">
        <v>19686</v>
      </c>
    </row>
    <row r="8" spans="1:3" s="120" customFormat="1" ht="23.25" customHeight="1">
      <c r="A8" s="125" t="s">
        <v>156</v>
      </c>
      <c r="B8" s="175" t="s">
        <v>180</v>
      </c>
      <c r="C8" s="237">
        <v>12391</v>
      </c>
    </row>
    <row r="9" spans="1:3" s="120" customFormat="1" ht="23.25" customHeight="1">
      <c r="A9" s="151" t="s">
        <v>155</v>
      </c>
      <c r="B9" s="189" t="s">
        <v>181</v>
      </c>
      <c r="C9" s="238"/>
    </row>
    <row r="10" spans="1:3" s="120" customFormat="1" ht="23.25" customHeight="1">
      <c r="A10" s="190" t="s">
        <v>42</v>
      </c>
      <c r="B10" s="175" t="s">
        <v>169</v>
      </c>
      <c r="C10" s="237"/>
    </row>
    <row r="11" spans="1:3" s="120" customFormat="1" ht="23.25" customHeight="1">
      <c r="A11" s="125" t="s">
        <v>182</v>
      </c>
      <c r="B11" s="174" t="s">
        <v>183</v>
      </c>
      <c r="C11" s="237">
        <v>238867</v>
      </c>
    </row>
    <row r="12" spans="1:3" s="120" customFormat="1" ht="23.25" customHeight="1">
      <c r="A12" s="125" t="s">
        <v>41</v>
      </c>
      <c r="B12" s="174" t="s">
        <v>185</v>
      </c>
      <c r="C12" s="237"/>
    </row>
    <row r="13" spans="1:3" s="120" customFormat="1" ht="23.25" customHeight="1">
      <c r="A13" s="125" t="s">
        <v>846</v>
      </c>
      <c r="B13" s="175" t="s">
        <v>202</v>
      </c>
      <c r="C13" s="237"/>
    </row>
    <row r="14" spans="1:3" s="120" customFormat="1" ht="23.25" customHeight="1">
      <c r="A14" s="125" t="s">
        <v>847</v>
      </c>
      <c r="B14" s="175" t="s">
        <v>848</v>
      </c>
      <c r="C14" s="237"/>
    </row>
    <row r="15" spans="1:3" s="120" customFormat="1" ht="23.25" customHeight="1">
      <c r="A15" s="151" t="s">
        <v>110</v>
      </c>
      <c r="B15" s="189" t="s">
        <v>184</v>
      </c>
      <c r="C15" s="238">
        <v>180985</v>
      </c>
    </row>
    <row r="16" spans="1:3" s="120" customFormat="1" ht="23.25" customHeight="1">
      <c r="A16" s="190" t="s">
        <v>196</v>
      </c>
      <c r="B16" s="188" t="s">
        <v>166</v>
      </c>
      <c r="C16" s="238">
        <v>5995146</v>
      </c>
    </row>
    <row r="17" spans="1:3" s="120" customFormat="1" ht="23.25" customHeight="1">
      <c r="A17" s="126" t="s">
        <v>161</v>
      </c>
      <c r="B17" s="175" t="s">
        <v>167</v>
      </c>
      <c r="C17" s="237"/>
    </row>
    <row r="18" spans="1:3" s="123" customFormat="1" ht="23.25" customHeight="1">
      <c r="A18" s="122" t="s">
        <v>153</v>
      </c>
      <c r="B18" s="174" t="s">
        <v>176</v>
      </c>
      <c r="C18" s="238">
        <v>271864</v>
      </c>
    </row>
    <row r="19" spans="1:3" s="5" customFormat="1" ht="23.25" customHeight="1">
      <c r="A19" s="119" t="s">
        <v>158</v>
      </c>
      <c r="B19" s="175" t="s">
        <v>172</v>
      </c>
      <c r="C19" s="237">
        <v>3933205</v>
      </c>
    </row>
    <row r="20" spans="1:3" s="123" customFormat="1" ht="23.25" customHeight="1">
      <c r="A20" s="119" t="s">
        <v>152</v>
      </c>
      <c r="B20" s="189" t="s">
        <v>173</v>
      </c>
      <c r="C20" s="237"/>
    </row>
    <row r="21" spans="1:3" s="123" customFormat="1" ht="23.25" customHeight="1">
      <c r="A21" s="119" t="s">
        <v>109</v>
      </c>
      <c r="B21" s="175" t="s">
        <v>174</v>
      </c>
      <c r="C21" s="237">
        <v>1232217</v>
      </c>
    </row>
    <row r="22" spans="1:3" s="123" customFormat="1" ht="23.25" customHeight="1">
      <c r="A22" s="119" t="s">
        <v>43</v>
      </c>
      <c r="B22" s="189" t="s">
        <v>168</v>
      </c>
      <c r="C22" s="237"/>
    </row>
    <row r="23" spans="1:3" s="123" customFormat="1" ht="23.25" customHeight="1">
      <c r="A23" s="191" t="s">
        <v>200</v>
      </c>
      <c r="B23" s="175" t="s">
        <v>170</v>
      </c>
      <c r="C23" s="239">
        <v>71161</v>
      </c>
    </row>
    <row r="24" spans="1:3" s="123" customFormat="1" ht="23.25" customHeight="1">
      <c r="A24" s="192" t="s">
        <v>269</v>
      </c>
      <c r="B24" s="174" t="s">
        <v>171</v>
      </c>
      <c r="C24" s="240"/>
    </row>
    <row r="25" spans="1:3" s="123" customFormat="1" ht="23.25" customHeight="1" thickBot="1">
      <c r="A25" s="121" t="s">
        <v>664</v>
      </c>
      <c r="B25" s="176" t="s">
        <v>175</v>
      </c>
      <c r="C25" s="241">
        <v>325070</v>
      </c>
    </row>
    <row r="26" spans="1:2" s="123" customFormat="1" ht="10.5">
      <c r="A26"/>
      <c r="B26"/>
    </row>
    <row r="27" spans="1:2" s="123" customFormat="1" ht="23.25" customHeight="1">
      <c r="A27" s="5" t="s">
        <v>197</v>
      </c>
      <c r="B27"/>
    </row>
    <row r="28" ht="10.5">
      <c r="A28" s="166"/>
    </row>
  </sheetData>
  <sheetProtection password="EA98" sheet="1" formatColumns="0" selectLockedCells="1"/>
  <mergeCells count="2">
    <mergeCell ref="B2:C2"/>
    <mergeCell ref="A1:B1"/>
  </mergeCells>
  <dataValidations count="1">
    <dataValidation type="whole" allowBlank="1" showInputMessage="1" showErrorMessage="1" errorTitle="ERRORE NEL DATO IMMESSO" error="INSERIRE SOLO NUMERI INTERI" sqref="C4:C25">
      <formula1>1</formula1>
      <formula2>999999999999</formula2>
    </dataValidation>
  </dataValidations>
  <printOptions horizontalCentered="1" verticalCentered="1"/>
  <pageMargins left="0" right="0" top="0.1968503937007874" bottom="0.17" header="0.2" footer="0.18"/>
  <pageSetup horizontalDpi="300" verticalDpi="300" orientation="landscape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4"/>
  <dimension ref="A1:Q49"/>
  <sheetViews>
    <sheetView showGridLines="0" tabSelected="1" zoomScale="82" zoomScaleNormal="82" zoomScalePageLayoutView="0" workbookViewId="0" topLeftCell="A1">
      <selection activeCell="G13" sqref="G13"/>
    </sheetView>
  </sheetViews>
  <sheetFormatPr defaultColWidth="9.33203125" defaultRowHeight="10.5"/>
  <cols>
    <col min="1" max="1" width="60.66015625" style="436" customWidth="1"/>
    <col min="2" max="2" width="7.33203125" style="447" customWidth="1"/>
    <col min="3" max="3" width="11" style="436" customWidth="1"/>
    <col min="4" max="4" width="2.83203125" style="436" hidden="1" customWidth="1"/>
    <col min="5" max="5" width="60.83203125" style="436" customWidth="1"/>
    <col min="6" max="6" width="8.83203125" style="436" customWidth="1"/>
    <col min="7" max="7" width="12.16015625" style="436" customWidth="1"/>
    <col min="8" max="8" width="9.33203125" style="436" customWidth="1"/>
    <col min="9" max="9" width="8.83203125" style="436" customWidth="1"/>
    <col min="10" max="10" width="9.33203125" style="436" hidden="1" customWidth="1"/>
    <col min="11" max="11" width="47.5" style="436" hidden="1" customWidth="1"/>
    <col min="12" max="12" width="9.33203125" style="436" hidden="1" customWidth="1"/>
    <col min="13" max="16384" width="9.33203125" style="436" customWidth="1"/>
  </cols>
  <sheetData>
    <row r="1" spans="1:13" s="43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497" t="s">
        <v>438</v>
      </c>
      <c r="I1" s="434"/>
      <c r="J1" s="434"/>
      <c r="K1" s="434"/>
      <c r="M1" s="436"/>
    </row>
    <row r="2" spans="2:7" ht="57" customHeight="1" thickBot="1">
      <c r="B2" s="436"/>
      <c r="E2" s="1391"/>
      <c r="F2" s="1391"/>
      <c r="G2" s="1391"/>
    </row>
    <row r="3" spans="1:12" ht="25.5" customHeight="1" thickBot="1">
      <c r="A3" s="1474"/>
      <c r="B3" s="1475"/>
      <c r="C3" s="1475"/>
      <c r="D3" s="1475"/>
      <c r="E3" s="1475"/>
      <c r="F3" s="1476"/>
      <c r="G3" s="1185"/>
      <c r="H3" s="1477" t="s">
        <v>263</v>
      </c>
      <c r="I3" s="1478"/>
      <c r="J3" s="1478"/>
      <c r="K3" s="1478"/>
      <c r="L3" s="1479"/>
    </row>
    <row r="4" spans="1:17" ht="25.5" customHeight="1">
      <c r="A4" s="437" t="s">
        <v>893</v>
      </c>
      <c r="B4" s="438"/>
      <c r="C4" s="439"/>
      <c r="D4" s="440"/>
      <c r="E4" s="437" t="s">
        <v>894</v>
      </c>
      <c r="F4" s="441"/>
      <c r="G4" s="442"/>
      <c r="H4" s="1462" t="str">
        <f>IF(C36=G36,"OK","ATTENZIONE IL TOTALE DELLE ENTRATE NON COINCIDE CON IL TOTALE DELLE USCITE")</f>
        <v>OK</v>
      </c>
      <c r="I4" s="1463"/>
      <c r="J4" s="1463"/>
      <c r="K4" s="1463"/>
      <c r="L4" s="1464"/>
      <c r="M4" s="448"/>
      <c r="N4" s="450"/>
      <c r="O4" s="450"/>
      <c r="P4" s="450"/>
      <c r="Q4" s="450"/>
    </row>
    <row r="5" spans="1:17" ht="18" customHeight="1">
      <c r="A5" s="443" t="s">
        <v>133</v>
      </c>
      <c r="B5" s="205" t="s">
        <v>134</v>
      </c>
      <c r="C5" s="444" t="s">
        <v>265</v>
      </c>
      <c r="D5" s="152"/>
      <c r="E5" s="443" t="s">
        <v>133</v>
      </c>
      <c r="F5" s="148" t="s">
        <v>134</v>
      </c>
      <c r="G5" s="445" t="s">
        <v>265</v>
      </c>
      <c r="H5" s="1462"/>
      <c r="I5" s="1463"/>
      <c r="J5" s="1463"/>
      <c r="K5" s="1463"/>
      <c r="L5" s="1464"/>
      <c r="M5" s="450"/>
      <c r="N5" s="450"/>
      <c r="O5" s="450"/>
      <c r="P5" s="450"/>
      <c r="Q5" s="450"/>
    </row>
    <row r="6" spans="1:17" ht="15" customHeight="1">
      <c r="A6" s="1480" t="s">
        <v>704</v>
      </c>
      <c r="B6" s="1481"/>
      <c r="C6" s="1482"/>
      <c r="D6" s="152"/>
      <c r="E6" s="1480" t="s">
        <v>748</v>
      </c>
      <c r="F6" s="1481"/>
      <c r="G6" s="1482"/>
      <c r="H6" s="1462"/>
      <c r="I6" s="1463"/>
      <c r="J6" s="1463"/>
      <c r="K6" s="1463"/>
      <c r="L6" s="1464"/>
      <c r="M6" s="450"/>
      <c r="N6" s="450"/>
      <c r="O6" s="450"/>
      <c r="P6" s="450"/>
      <c r="Q6" s="450"/>
    </row>
    <row r="7" spans="1:17" ht="15" customHeight="1">
      <c r="A7" s="168" t="s">
        <v>714</v>
      </c>
      <c r="B7" s="148" t="s">
        <v>414</v>
      </c>
      <c r="C7" s="349"/>
      <c r="D7" s="440"/>
      <c r="E7" s="220" t="s">
        <v>751</v>
      </c>
      <c r="F7" s="148" t="s">
        <v>749</v>
      </c>
      <c r="G7" s="350"/>
      <c r="H7" s="1462"/>
      <c r="I7" s="1463"/>
      <c r="J7" s="1463"/>
      <c r="K7" s="1463"/>
      <c r="L7" s="1464"/>
      <c r="M7" s="450"/>
      <c r="N7" s="450"/>
      <c r="O7" s="450"/>
      <c r="P7" s="450"/>
      <c r="Q7" s="450"/>
    </row>
    <row r="8" spans="1:17" ht="15" customHeight="1">
      <c r="A8" s="168" t="s">
        <v>715</v>
      </c>
      <c r="B8" s="148" t="s">
        <v>416</v>
      </c>
      <c r="C8" s="349"/>
      <c r="D8" s="440"/>
      <c r="E8" s="220" t="s">
        <v>752</v>
      </c>
      <c r="F8" s="148" t="s">
        <v>750</v>
      </c>
      <c r="G8" s="1179"/>
      <c r="H8" s="1462"/>
      <c r="I8" s="1463"/>
      <c r="J8" s="1463"/>
      <c r="K8" s="1463"/>
      <c r="L8" s="1464"/>
      <c r="M8" s="450"/>
      <c r="N8" s="450"/>
      <c r="O8" s="450"/>
      <c r="P8" s="450"/>
      <c r="Q8" s="450"/>
    </row>
    <row r="9" spans="1:17" ht="15" customHeight="1" thickBot="1">
      <c r="A9" s="168" t="s">
        <v>716</v>
      </c>
      <c r="B9" s="148" t="s">
        <v>420</v>
      </c>
      <c r="C9" s="349"/>
      <c r="D9" s="440"/>
      <c r="E9" s="1182" t="s">
        <v>764</v>
      </c>
      <c r="F9" s="1184"/>
      <c r="G9" s="1180">
        <f>SUM(G7:G8)</f>
        <v>0</v>
      </c>
      <c r="H9" s="1462"/>
      <c r="I9" s="1463"/>
      <c r="J9" s="1463"/>
      <c r="K9" s="1463"/>
      <c r="L9" s="1464"/>
      <c r="M9" s="450"/>
      <c r="N9" s="450"/>
      <c r="O9" s="450"/>
      <c r="P9" s="450"/>
      <c r="Q9" s="450"/>
    </row>
    <row r="10" spans="1:17" ht="15" customHeight="1">
      <c r="A10" s="168" t="s">
        <v>717</v>
      </c>
      <c r="B10" s="148" t="s">
        <v>421</v>
      </c>
      <c r="C10" s="349"/>
      <c r="D10" s="440"/>
      <c r="E10" s="1483" t="s">
        <v>753</v>
      </c>
      <c r="F10" s="1484"/>
      <c r="G10" s="1485"/>
      <c r="H10" s="1462"/>
      <c r="I10" s="1463"/>
      <c r="J10" s="1463"/>
      <c r="K10" s="1463"/>
      <c r="L10" s="1464"/>
      <c r="M10" s="450"/>
      <c r="N10" s="450"/>
      <c r="O10" s="450"/>
      <c r="P10" s="450"/>
      <c r="Q10" s="450"/>
    </row>
    <row r="11" spans="1:17" ht="15" customHeight="1">
      <c r="A11" s="168" t="s">
        <v>718</v>
      </c>
      <c r="B11" s="148" t="s">
        <v>705</v>
      </c>
      <c r="C11" s="349"/>
      <c r="D11" s="440"/>
      <c r="E11" s="220" t="s">
        <v>758</v>
      </c>
      <c r="F11" s="148" t="s">
        <v>754</v>
      </c>
      <c r="G11" s="350">
        <v>96210</v>
      </c>
      <c r="H11" s="1462"/>
      <c r="I11" s="1463"/>
      <c r="J11" s="1463"/>
      <c r="K11" s="1463"/>
      <c r="L11" s="1464"/>
      <c r="M11" s="450"/>
      <c r="N11" s="450"/>
      <c r="O11" s="450"/>
      <c r="P11" s="450"/>
      <c r="Q11" s="450"/>
    </row>
    <row r="12" spans="1:17" ht="15" customHeight="1">
      <c r="A12" s="168" t="s">
        <v>719</v>
      </c>
      <c r="B12" s="148" t="s">
        <v>706</v>
      </c>
      <c r="C12" s="349"/>
      <c r="D12" s="440"/>
      <c r="E12" s="220" t="s">
        <v>759</v>
      </c>
      <c r="F12" s="148" t="s">
        <v>755</v>
      </c>
      <c r="G12" s="350">
        <v>28863</v>
      </c>
      <c r="H12" s="1462"/>
      <c r="I12" s="1463"/>
      <c r="J12" s="1463"/>
      <c r="K12" s="1463"/>
      <c r="L12" s="1464"/>
      <c r="M12" s="450"/>
      <c r="N12" s="450"/>
      <c r="O12" s="450"/>
      <c r="P12" s="450"/>
      <c r="Q12" s="450"/>
    </row>
    <row r="13" spans="1:17" ht="15" customHeight="1">
      <c r="A13" s="168" t="s">
        <v>720</v>
      </c>
      <c r="B13" s="148" t="s">
        <v>707</v>
      </c>
      <c r="C13" s="349">
        <v>125073</v>
      </c>
      <c r="D13" s="440"/>
      <c r="E13" s="220" t="s">
        <v>760</v>
      </c>
      <c r="F13" s="148" t="s">
        <v>756</v>
      </c>
      <c r="G13" s="350"/>
      <c r="H13" s="1462"/>
      <c r="I13" s="1463"/>
      <c r="J13" s="1463"/>
      <c r="K13" s="1463"/>
      <c r="L13" s="1464"/>
      <c r="M13" s="450"/>
      <c r="N13" s="450"/>
      <c r="O13" s="450"/>
      <c r="P13" s="450"/>
      <c r="Q13" s="450"/>
    </row>
    <row r="14" spans="1:17" ht="15" customHeight="1">
      <c r="A14" s="168" t="s">
        <v>721</v>
      </c>
      <c r="B14" s="148" t="s">
        <v>708</v>
      </c>
      <c r="C14" s="349"/>
      <c r="D14" s="440"/>
      <c r="E14" s="220" t="s">
        <v>761</v>
      </c>
      <c r="F14" s="148" t="s">
        <v>423</v>
      </c>
      <c r="G14" s="350"/>
      <c r="H14" s="1462"/>
      <c r="I14" s="1463"/>
      <c r="J14" s="1463"/>
      <c r="K14" s="1463"/>
      <c r="L14" s="1464"/>
      <c r="M14" s="450"/>
      <c r="N14" s="450"/>
      <c r="O14" s="450"/>
      <c r="P14" s="450"/>
      <c r="Q14" s="450"/>
    </row>
    <row r="15" spans="1:17" ht="15" customHeight="1">
      <c r="A15" s="168" t="s">
        <v>722</v>
      </c>
      <c r="B15" s="148" t="s">
        <v>709</v>
      </c>
      <c r="C15" s="349"/>
      <c r="D15" s="440"/>
      <c r="E15" s="220" t="s">
        <v>762</v>
      </c>
      <c r="F15" s="148" t="s">
        <v>757</v>
      </c>
      <c r="G15" s="1183"/>
      <c r="H15" s="1462"/>
      <c r="I15" s="1463"/>
      <c r="J15" s="1463"/>
      <c r="K15" s="1463"/>
      <c r="L15" s="1464"/>
      <c r="M15" s="450"/>
      <c r="N15" s="450"/>
      <c r="O15" s="450"/>
      <c r="P15" s="450"/>
      <c r="Q15" s="450"/>
    </row>
    <row r="16" spans="1:17" ht="15" customHeight="1" thickBot="1">
      <c r="A16" s="168" t="s">
        <v>723</v>
      </c>
      <c r="B16" s="148" t="s">
        <v>710</v>
      </c>
      <c r="C16" s="349"/>
      <c r="D16" s="440"/>
      <c r="E16" s="1182" t="s">
        <v>763</v>
      </c>
      <c r="F16" s="1181"/>
      <c r="G16" s="1180">
        <f>SUM(G11:G15)</f>
        <v>125073</v>
      </c>
      <c r="H16" s="1462"/>
      <c r="I16" s="1463"/>
      <c r="J16" s="1463"/>
      <c r="K16" s="1463"/>
      <c r="L16" s="1464"/>
      <c r="M16" s="450"/>
      <c r="N16" s="450"/>
      <c r="O16" s="450"/>
      <c r="P16" s="450"/>
      <c r="Q16" s="450"/>
    </row>
    <row r="17" spans="1:17" ht="15" customHeight="1">
      <c r="A17" s="168" t="s">
        <v>724</v>
      </c>
      <c r="B17" s="148" t="s">
        <v>711</v>
      </c>
      <c r="C17" s="349"/>
      <c r="D17" s="440"/>
      <c r="E17" s="1483" t="s">
        <v>765</v>
      </c>
      <c r="F17" s="1484"/>
      <c r="G17" s="1485"/>
      <c r="H17" s="1462"/>
      <c r="I17" s="1463"/>
      <c r="J17" s="1463"/>
      <c r="K17" s="1463"/>
      <c r="L17" s="1464"/>
      <c r="M17" s="450"/>
      <c r="N17" s="450"/>
      <c r="O17" s="450"/>
      <c r="P17" s="450"/>
      <c r="Q17" s="450"/>
    </row>
    <row r="18" spans="1:17" ht="15" customHeight="1">
      <c r="A18" s="168" t="s">
        <v>725</v>
      </c>
      <c r="B18" s="148" t="s">
        <v>712</v>
      </c>
      <c r="C18" s="349"/>
      <c r="D18" s="440"/>
      <c r="E18" s="220" t="s">
        <v>654</v>
      </c>
      <c r="F18" s="148" t="s">
        <v>653</v>
      </c>
      <c r="G18" s="1183"/>
      <c r="H18" s="1462"/>
      <c r="I18" s="1463"/>
      <c r="J18" s="1463"/>
      <c r="K18" s="1463"/>
      <c r="L18" s="1464"/>
      <c r="M18" s="450"/>
      <c r="N18" s="450"/>
      <c r="O18" s="450"/>
      <c r="P18" s="450"/>
      <c r="Q18" s="450"/>
    </row>
    <row r="19" spans="1:17" ht="15" customHeight="1" thickBot="1">
      <c r="A19" s="168" t="s">
        <v>726</v>
      </c>
      <c r="B19" s="148" t="s">
        <v>418</v>
      </c>
      <c r="C19" s="349"/>
      <c r="D19" s="440"/>
      <c r="E19" s="1182" t="s">
        <v>766</v>
      </c>
      <c r="F19" s="1181"/>
      <c r="G19" s="1180">
        <f>SUM(G18)</f>
        <v>0</v>
      </c>
      <c r="H19" s="1465"/>
      <c r="I19" s="1466"/>
      <c r="J19" s="1466"/>
      <c r="K19" s="1466"/>
      <c r="L19" s="1467"/>
      <c r="M19" s="448"/>
      <c r="N19" s="448"/>
      <c r="O19" s="448"/>
      <c r="P19" s="448"/>
      <c r="Q19" s="448"/>
    </row>
    <row r="20" spans="1:17" ht="15" customHeight="1">
      <c r="A20" s="168" t="s">
        <v>727</v>
      </c>
      <c r="B20" s="148" t="s">
        <v>419</v>
      </c>
      <c r="C20" s="349"/>
      <c r="D20" s="440"/>
      <c r="E20" s="1186"/>
      <c r="F20" s="1187"/>
      <c r="G20" s="1188"/>
      <c r="H20" s="1468"/>
      <c r="I20" s="1469"/>
      <c r="J20" s="1469"/>
      <c r="K20" s="1469"/>
      <c r="L20" s="1470"/>
      <c r="M20" s="448"/>
      <c r="N20" s="448"/>
      <c r="O20" s="448"/>
      <c r="P20" s="448"/>
      <c r="Q20" s="448"/>
    </row>
    <row r="21" spans="1:17" ht="15" customHeight="1" thickBot="1">
      <c r="A21" s="168" t="s">
        <v>728</v>
      </c>
      <c r="B21" s="148" t="s">
        <v>713</v>
      </c>
      <c r="C21" s="349"/>
      <c r="D21" s="440"/>
      <c r="E21" s="1189"/>
      <c r="F21" s="448"/>
      <c r="G21" s="1190"/>
      <c r="H21" s="1471"/>
      <c r="I21" s="1472"/>
      <c r="J21" s="1472"/>
      <c r="K21" s="1472"/>
      <c r="L21" s="1473"/>
      <c r="M21" s="448"/>
      <c r="N21" s="448"/>
      <c r="O21" s="448"/>
      <c r="P21" s="448"/>
      <c r="Q21" s="448"/>
    </row>
    <row r="22" spans="1:17" ht="15" customHeight="1">
      <c r="A22" s="168" t="s">
        <v>729</v>
      </c>
      <c r="B22" s="148" t="s">
        <v>422</v>
      </c>
      <c r="C22" s="349"/>
      <c r="D22" s="440"/>
      <c r="E22" s="1191"/>
      <c r="F22" s="448"/>
      <c r="G22" s="1190"/>
      <c r="H22" s="1459"/>
      <c r="I22" s="1460"/>
      <c r="J22" s="1460"/>
      <c r="K22" s="1460"/>
      <c r="L22" s="1461"/>
      <c r="M22" s="448"/>
      <c r="N22" s="448"/>
      <c r="O22" s="448"/>
      <c r="P22" s="448"/>
      <c r="Q22" s="448"/>
    </row>
    <row r="23" spans="1:17" ht="15" customHeight="1">
      <c r="A23" s="168" t="s">
        <v>730</v>
      </c>
      <c r="B23" s="148" t="s">
        <v>324</v>
      </c>
      <c r="C23" s="349"/>
      <c r="D23" s="440"/>
      <c r="E23" s="1189"/>
      <c r="F23" s="448"/>
      <c r="G23" s="1190"/>
      <c r="H23" s="1462"/>
      <c r="I23" s="1463"/>
      <c r="J23" s="1463"/>
      <c r="K23" s="1463"/>
      <c r="L23" s="1464"/>
      <c r="M23" s="448"/>
      <c r="N23" s="448"/>
      <c r="O23" s="448"/>
      <c r="P23" s="448"/>
      <c r="Q23" s="448"/>
    </row>
    <row r="24" spans="1:17" ht="15" customHeight="1">
      <c r="A24" s="220" t="s">
        <v>731</v>
      </c>
      <c r="B24" s="148" t="s">
        <v>325</v>
      </c>
      <c r="C24" s="1179"/>
      <c r="D24" s="440"/>
      <c r="E24" s="1189"/>
      <c r="F24" s="448"/>
      <c r="G24" s="1190"/>
      <c r="H24" s="1462"/>
      <c r="I24" s="1463"/>
      <c r="J24" s="1463"/>
      <c r="K24" s="1463"/>
      <c r="L24" s="1464"/>
      <c r="M24" s="448"/>
      <c r="N24" s="448"/>
      <c r="O24" s="448"/>
      <c r="P24" s="448"/>
      <c r="Q24" s="448"/>
    </row>
    <row r="25" spans="1:17" ht="15" customHeight="1" thickBot="1">
      <c r="A25" s="1182" t="s">
        <v>732</v>
      </c>
      <c r="B25" s="1181"/>
      <c r="C25" s="1180">
        <f>SUM(C7:C24)</f>
        <v>125073</v>
      </c>
      <c r="D25" s="440"/>
      <c r="E25" s="1189"/>
      <c r="F25" s="448"/>
      <c r="G25" s="1190"/>
      <c r="H25" s="1462"/>
      <c r="I25" s="1463"/>
      <c r="J25" s="1463"/>
      <c r="K25" s="1463"/>
      <c r="L25" s="1464"/>
      <c r="M25" s="448"/>
      <c r="N25" s="448"/>
      <c r="O25" s="448"/>
      <c r="P25" s="448"/>
      <c r="Q25" s="448"/>
    </row>
    <row r="26" spans="1:17" ht="15" customHeight="1">
      <c r="A26" s="1483" t="s">
        <v>733</v>
      </c>
      <c r="B26" s="1484"/>
      <c r="C26" s="1485"/>
      <c r="D26" s="440"/>
      <c r="E26" s="1189"/>
      <c r="F26" s="448"/>
      <c r="G26" s="1190"/>
      <c r="H26" s="1462"/>
      <c r="I26" s="1463"/>
      <c r="J26" s="1463"/>
      <c r="K26" s="1463"/>
      <c r="L26" s="1464"/>
      <c r="M26" s="448"/>
      <c r="N26" s="448"/>
      <c r="O26" s="448"/>
      <c r="P26" s="448"/>
      <c r="Q26" s="448"/>
    </row>
    <row r="27" spans="1:17" ht="15" customHeight="1">
      <c r="A27" s="220" t="s">
        <v>739</v>
      </c>
      <c r="B27" s="205" t="s">
        <v>415</v>
      </c>
      <c r="C27" s="349"/>
      <c r="D27" s="440"/>
      <c r="E27" s="1189"/>
      <c r="F27" s="448"/>
      <c r="G27" s="1190"/>
      <c r="H27" s="1462"/>
      <c r="I27" s="1463"/>
      <c r="J27" s="1463"/>
      <c r="K27" s="1463"/>
      <c r="L27" s="1464"/>
      <c r="M27" s="448"/>
      <c r="N27" s="448"/>
      <c r="O27" s="448"/>
      <c r="P27" s="448"/>
      <c r="Q27" s="448"/>
    </row>
    <row r="28" spans="1:17" ht="15" customHeight="1">
      <c r="A28" s="220" t="s">
        <v>740</v>
      </c>
      <c r="B28" s="205" t="s">
        <v>417</v>
      </c>
      <c r="C28" s="349"/>
      <c r="D28" s="440"/>
      <c r="E28" s="1189"/>
      <c r="F28" s="448"/>
      <c r="G28" s="1190"/>
      <c r="H28" s="1462"/>
      <c r="I28" s="1463"/>
      <c r="J28" s="1463"/>
      <c r="K28" s="1463"/>
      <c r="L28" s="1464"/>
      <c r="M28" s="448"/>
      <c r="N28" s="448"/>
      <c r="O28" s="448"/>
      <c r="P28" s="448"/>
      <c r="Q28" s="448"/>
    </row>
    <row r="29" spans="1:17" ht="15" customHeight="1">
      <c r="A29" s="220" t="s">
        <v>741</v>
      </c>
      <c r="B29" s="205" t="s">
        <v>734</v>
      </c>
      <c r="C29" s="349"/>
      <c r="D29" s="440"/>
      <c r="E29" s="1189"/>
      <c r="F29" s="448"/>
      <c r="G29" s="1190"/>
      <c r="H29" s="1462"/>
      <c r="I29" s="1463"/>
      <c r="J29" s="1463"/>
      <c r="K29" s="1463"/>
      <c r="L29" s="1464"/>
      <c r="M29" s="448"/>
      <c r="N29" s="448"/>
      <c r="O29" s="448"/>
      <c r="P29" s="448"/>
      <c r="Q29" s="448"/>
    </row>
    <row r="30" spans="1:17" ht="15" customHeight="1">
      <c r="A30" s="220" t="s">
        <v>742</v>
      </c>
      <c r="B30" s="205" t="s">
        <v>735</v>
      </c>
      <c r="C30" s="349"/>
      <c r="D30" s="440"/>
      <c r="E30" s="1189"/>
      <c r="F30" s="448"/>
      <c r="G30" s="1190"/>
      <c r="H30" s="1462"/>
      <c r="I30" s="1463"/>
      <c r="J30" s="1463"/>
      <c r="K30" s="1463"/>
      <c r="L30" s="1464"/>
      <c r="M30" s="448"/>
      <c r="N30" s="448"/>
      <c r="O30" s="448"/>
      <c r="P30" s="448"/>
      <c r="Q30" s="448"/>
    </row>
    <row r="31" spans="1:17" ht="15" customHeight="1">
      <c r="A31" s="220" t="s">
        <v>743</v>
      </c>
      <c r="B31" s="205" t="s">
        <v>736</v>
      </c>
      <c r="C31" s="349"/>
      <c r="D31" s="440"/>
      <c r="E31" s="1189"/>
      <c r="F31" s="448"/>
      <c r="G31" s="1190"/>
      <c r="H31" s="1462"/>
      <c r="I31" s="1463"/>
      <c r="J31" s="1463"/>
      <c r="K31" s="1463"/>
      <c r="L31" s="1464"/>
      <c r="M31" s="448"/>
      <c r="N31" s="448"/>
      <c r="O31" s="448"/>
      <c r="P31" s="448"/>
      <c r="Q31" s="448"/>
    </row>
    <row r="32" spans="1:17" ht="15" customHeight="1">
      <c r="A32" s="220" t="s">
        <v>744</v>
      </c>
      <c r="B32" s="205" t="s">
        <v>737</v>
      </c>
      <c r="C32" s="349"/>
      <c r="D32" s="440"/>
      <c r="E32" s="1189"/>
      <c r="F32" s="448"/>
      <c r="G32" s="1190"/>
      <c r="H32" s="1462"/>
      <c r="I32" s="1463"/>
      <c r="J32" s="1463"/>
      <c r="K32" s="1463"/>
      <c r="L32" s="1464"/>
      <c r="M32" s="448"/>
      <c r="N32" s="448"/>
      <c r="O32" s="448"/>
      <c r="P32" s="448"/>
      <c r="Q32" s="448"/>
    </row>
    <row r="33" spans="1:17" ht="15" customHeight="1">
      <c r="A33" s="220" t="s">
        <v>745</v>
      </c>
      <c r="B33" s="205" t="s">
        <v>738</v>
      </c>
      <c r="C33" s="349"/>
      <c r="D33" s="440"/>
      <c r="E33" s="1189"/>
      <c r="F33" s="448"/>
      <c r="G33" s="1190"/>
      <c r="H33" s="1462"/>
      <c r="I33" s="1463"/>
      <c r="J33" s="1463"/>
      <c r="K33" s="1463"/>
      <c r="L33" s="1464"/>
      <c r="M33" s="448"/>
      <c r="N33" s="448"/>
      <c r="O33" s="448"/>
      <c r="P33" s="448"/>
      <c r="Q33" s="448"/>
    </row>
    <row r="34" spans="1:17" ht="15" customHeight="1">
      <c r="A34" s="220" t="s">
        <v>746</v>
      </c>
      <c r="B34" s="205" t="s">
        <v>326</v>
      </c>
      <c r="C34" s="1179"/>
      <c r="D34" s="440"/>
      <c r="E34" s="1192"/>
      <c r="F34" s="1193"/>
      <c r="G34" s="1190"/>
      <c r="H34" s="1462"/>
      <c r="I34" s="1463"/>
      <c r="J34" s="1463"/>
      <c r="K34" s="1463"/>
      <c r="L34" s="1464"/>
      <c r="M34" s="448"/>
      <c r="N34" s="448"/>
      <c r="O34" s="448"/>
      <c r="P34" s="448"/>
      <c r="Q34" s="448"/>
    </row>
    <row r="35" spans="1:17" ht="15" customHeight="1" thickBot="1">
      <c r="A35" s="1182" t="s">
        <v>747</v>
      </c>
      <c r="B35" s="1181"/>
      <c r="C35" s="1180">
        <f>SUM(C27:C34)</f>
        <v>0</v>
      </c>
      <c r="D35" s="440"/>
      <c r="E35" s="1194"/>
      <c r="F35" s="1195"/>
      <c r="G35" s="1196"/>
      <c r="H35" s="1462"/>
      <c r="I35" s="1463"/>
      <c r="J35" s="1463"/>
      <c r="K35" s="1463"/>
      <c r="L35" s="1464"/>
      <c r="M35" s="448"/>
      <c r="N35" s="448"/>
      <c r="O35" s="448"/>
      <c r="P35" s="448"/>
      <c r="Q35" s="448"/>
    </row>
    <row r="36" spans="1:17" ht="18" customHeight="1" thickBot="1">
      <c r="A36" s="1486" t="s">
        <v>78</v>
      </c>
      <c r="B36" s="1487"/>
      <c r="C36" s="586">
        <f>C25+C35</f>
        <v>125073</v>
      </c>
      <c r="D36" s="181"/>
      <c r="E36" s="1488" t="s">
        <v>78</v>
      </c>
      <c r="F36" s="1489"/>
      <c r="G36" s="586">
        <f>G9+G16+G19</f>
        <v>125073</v>
      </c>
      <c r="H36" s="1465"/>
      <c r="I36" s="1466"/>
      <c r="J36" s="1466"/>
      <c r="K36" s="1466"/>
      <c r="L36" s="1467"/>
      <c r="M36" s="448"/>
      <c r="N36" s="448"/>
      <c r="O36" s="448"/>
      <c r="P36" s="448"/>
      <c r="Q36" s="448"/>
    </row>
    <row r="37" spans="8:17" ht="14.25" customHeight="1">
      <c r="H37" s="448"/>
      <c r="I37" s="448"/>
      <c r="J37" s="448"/>
      <c r="K37" s="448"/>
      <c r="L37" s="448"/>
      <c r="M37" s="448"/>
      <c r="N37" s="448"/>
      <c r="O37" s="448"/>
      <c r="P37" s="448"/>
      <c r="Q37" s="448"/>
    </row>
    <row r="38" spans="1:17" ht="10.5">
      <c r="A38" s="449" t="s">
        <v>199</v>
      </c>
      <c r="H38" s="448"/>
      <c r="I38" s="448"/>
      <c r="J38" s="448"/>
      <c r="K38" s="448"/>
      <c r="L38" s="448"/>
      <c r="M38" s="448"/>
      <c r="N38" s="448"/>
      <c r="O38" s="448"/>
      <c r="P38" s="448"/>
      <c r="Q38" s="448"/>
    </row>
    <row r="39" spans="8:17" ht="10.5">
      <c r="H39" s="448"/>
      <c r="I39" s="448"/>
      <c r="J39" s="448"/>
      <c r="K39" s="448"/>
      <c r="L39" s="448"/>
      <c r="M39" s="448"/>
      <c r="N39" s="448"/>
      <c r="O39" s="448"/>
      <c r="P39" s="448"/>
      <c r="Q39" s="448"/>
    </row>
    <row r="40" spans="8:17" ht="10.5">
      <c r="H40" s="448"/>
      <c r="I40" s="448"/>
      <c r="J40" s="448"/>
      <c r="K40" s="448"/>
      <c r="L40" s="448"/>
      <c r="M40" s="448"/>
      <c r="N40" s="448"/>
      <c r="O40" s="448"/>
      <c r="P40" s="448"/>
      <c r="Q40" s="448"/>
    </row>
    <row r="41" spans="8:17" ht="10.5" customHeight="1">
      <c r="H41" s="448"/>
      <c r="I41" s="450"/>
      <c r="J41" s="450"/>
      <c r="K41" s="450"/>
      <c r="L41" s="450"/>
      <c r="M41" s="448"/>
      <c r="N41" s="448"/>
      <c r="O41" s="448"/>
      <c r="P41" s="448"/>
      <c r="Q41" s="448"/>
    </row>
    <row r="42" spans="8:17" ht="10.5" customHeight="1">
      <c r="H42" s="450"/>
      <c r="I42" s="450"/>
      <c r="J42" s="450"/>
      <c r="K42" s="450"/>
      <c r="L42" s="450"/>
      <c r="M42" s="448"/>
      <c r="N42" s="448"/>
      <c r="O42" s="448"/>
      <c r="P42" s="448"/>
      <c r="Q42" s="448"/>
    </row>
    <row r="43" spans="13:17" ht="9" customHeight="1">
      <c r="M43" s="448"/>
      <c r="N43" s="448"/>
      <c r="O43" s="448"/>
      <c r="P43" s="448"/>
      <c r="Q43" s="448"/>
    </row>
    <row r="44" spans="13:17" ht="10.5" customHeight="1" hidden="1">
      <c r="M44" s="448"/>
      <c r="N44" s="448"/>
      <c r="O44" s="448"/>
      <c r="P44" s="448"/>
      <c r="Q44" s="448"/>
    </row>
    <row r="45" spans="13:17" ht="8.25" customHeight="1" hidden="1">
      <c r="M45" s="448"/>
      <c r="N45" s="448"/>
      <c r="O45" s="448"/>
      <c r="P45" s="448"/>
      <c r="Q45" s="448"/>
    </row>
    <row r="46" s="448" customFormat="1" ht="23.25" customHeight="1">
      <c r="B46" s="451"/>
    </row>
    <row r="47" s="448" customFormat="1" ht="10.5" customHeight="1">
      <c r="B47" s="451"/>
    </row>
    <row r="48" spans="13:17" ht="11.25" customHeight="1">
      <c r="M48" s="448"/>
      <c r="N48" s="448"/>
      <c r="O48" s="448"/>
      <c r="P48" s="448"/>
      <c r="Q48" s="448"/>
    </row>
    <row r="49" spans="13:17" ht="10.5">
      <c r="M49" s="448"/>
      <c r="N49" s="448"/>
      <c r="O49" s="448"/>
      <c r="P49" s="448"/>
      <c r="Q49" s="448"/>
    </row>
  </sheetData>
  <sheetProtection password="EA98" sheet="1" formatColumns="0" selectLockedCells="1"/>
  <mergeCells count="14">
    <mergeCell ref="E10:G10"/>
    <mergeCell ref="E17:G17"/>
    <mergeCell ref="A36:B36"/>
    <mergeCell ref="E36:F36"/>
    <mergeCell ref="A1:G1"/>
    <mergeCell ref="H22:L36"/>
    <mergeCell ref="H20:L21"/>
    <mergeCell ref="E2:G2"/>
    <mergeCell ref="H4:L19"/>
    <mergeCell ref="A3:F3"/>
    <mergeCell ref="H3:L3"/>
    <mergeCell ref="A6:C6"/>
    <mergeCell ref="A26:C26"/>
    <mergeCell ref="E6:G6"/>
  </mergeCells>
  <dataValidations count="1">
    <dataValidation type="whole" allowBlank="1" showInputMessage="1" showErrorMessage="1" errorTitle="ERRORE NEL DATO IMMESSO" error="INSERIRE SOLO NUMERI INTERI" sqref="G34:G35 C27:C35 C7:C25 G7:G9 G11:G16 G18:G20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6"/>
  <dimension ref="A1:M56"/>
  <sheetViews>
    <sheetView showGridLines="0" zoomScale="82" zoomScaleNormal="82" zoomScalePageLayoutView="0" workbookViewId="0" topLeftCell="A25">
      <selection activeCell="C43" sqref="C43"/>
    </sheetView>
  </sheetViews>
  <sheetFormatPr defaultColWidth="9.33203125" defaultRowHeight="10.5"/>
  <cols>
    <col min="1" max="1" width="59.5" style="436" customWidth="1"/>
    <col min="2" max="2" width="11.5" style="447" bestFit="1" customWidth="1"/>
    <col min="3" max="3" width="20.66015625" style="436" customWidth="1"/>
    <col min="4" max="4" width="2.83203125" style="436" customWidth="1"/>
    <col min="5" max="5" width="57.66015625" style="436" customWidth="1"/>
    <col min="6" max="6" width="11.66015625" style="436" customWidth="1"/>
    <col min="7" max="7" width="19.83203125" style="436" customWidth="1"/>
    <col min="8" max="16384" width="9.33203125" style="436" customWidth="1"/>
  </cols>
  <sheetData>
    <row r="1" spans="1:13" s="43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497" t="s">
        <v>343</v>
      </c>
      <c r="I1" s="434"/>
      <c r="J1" s="434"/>
      <c r="K1" s="434"/>
      <c r="M1" s="436"/>
    </row>
    <row r="2" spans="2:7" ht="57" customHeight="1" thickBot="1">
      <c r="B2" s="436"/>
      <c r="E2" s="1391"/>
      <c r="F2" s="1391"/>
      <c r="G2" s="1391"/>
    </row>
    <row r="3" spans="1:12" ht="25.5" customHeight="1" thickBot="1">
      <c r="A3" s="1474"/>
      <c r="B3" s="1475"/>
      <c r="C3" s="1475"/>
      <c r="D3" s="1475"/>
      <c r="E3" s="1475"/>
      <c r="F3" s="1476"/>
      <c r="G3" s="1200"/>
      <c r="H3" s="1477" t="s">
        <v>263</v>
      </c>
      <c r="I3" s="1478"/>
      <c r="J3" s="1478"/>
      <c r="K3" s="1478"/>
      <c r="L3" s="1479"/>
    </row>
    <row r="4" spans="1:12" ht="25.5" customHeight="1">
      <c r="A4" s="437" t="s">
        <v>893</v>
      </c>
      <c r="B4" s="438"/>
      <c r="C4" s="439"/>
      <c r="D4" s="440"/>
      <c r="E4" s="437" t="s">
        <v>894</v>
      </c>
      <c r="F4" s="441"/>
      <c r="G4" s="442"/>
      <c r="H4" s="1459" t="str">
        <f>IF(C45=G45,"OK","ATTENZIONE IL TOTALE DELLE ENTRATE NON COINCIDE CON IL TOTALE DELLE USCITE")</f>
        <v>OK</v>
      </c>
      <c r="I4" s="1460"/>
      <c r="J4" s="1460"/>
      <c r="K4" s="1460"/>
      <c r="L4" s="1461"/>
    </row>
    <row r="5" spans="1:12" ht="18" customHeight="1">
      <c r="A5" s="443" t="s">
        <v>133</v>
      </c>
      <c r="B5" s="205" t="s">
        <v>134</v>
      </c>
      <c r="C5" s="444" t="s">
        <v>265</v>
      </c>
      <c r="D5" s="152"/>
      <c r="E5" s="443" t="s">
        <v>133</v>
      </c>
      <c r="F5" s="148" t="s">
        <v>134</v>
      </c>
      <c r="G5" s="445" t="s">
        <v>265</v>
      </c>
      <c r="H5" s="1462"/>
      <c r="I5" s="1463"/>
      <c r="J5" s="1463"/>
      <c r="K5" s="1463"/>
      <c r="L5" s="1464"/>
    </row>
    <row r="6" spans="1:12" ht="20.25" customHeight="1">
      <c r="A6" s="1480" t="s">
        <v>704</v>
      </c>
      <c r="B6" s="1481"/>
      <c r="C6" s="1482"/>
      <c r="D6" s="452"/>
      <c r="E6" s="1480" t="s">
        <v>808</v>
      </c>
      <c r="F6" s="1481"/>
      <c r="G6" s="1482"/>
      <c r="H6" s="1462"/>
      <c r="I6" s="1463"/>
      <c r="J6" s="1463"/>
      <c r="K6" s="1463"/>
      <c r="L6" s="1464"/>
    </row>
    <row r="7" spans="1:12" ht="20.25" customHeight="1">
      <c r="A7" s="220" t="s">
        <v>770</v>
      </c>
      <c r="B7" s="205" t="s">
        <v>424</v>
      </c>
      <c r="C7" s="349">
        <v>870905</v>
      </c>
      <c r="D7" s="452"/>
      <c r="E7" s="168" t="s">
        <v>909</v>
      </c>
      <c r="F7" s="148" t="s">
        <v>430</v>
      </c>
      <c r="G7" s="349">
        <v>24351</v>
      </c>
      <c r="H7" s="1462"/>
      <c r="I7" s="1463"/>
      <c r="J7" s="1463"/>
      <c r="K7" s="1463"/>
      <c r="L7" s="1464"/>
    </row>
    <row r="8" spans="1:12" ht="20.25" customHeight="1">
      <c r="A8" s="220" t="s">
        <v>621</v>
      </c>
      <c r="B8" s="205" t="s">
        <v>425</v>
      </c>
      <c r="C8" s="349"/>
      <c r="D8" s="452"/>
      <c r="E8" s="220" t="s">
        <v>809</v>
      </c>
      <c r="F8" s="148" t="s">
        <v>431</v>
      </c>
      <c r="G8" s="350"/>
      <c r="H8" s="1462"/>
      <c r="I8" s="1463"/>
      <c r="J8" s="1463"/>
      <c r="K8" s="1463"/>
      <c r="L8" s="1464"/>
    </row>
    <row r="9" spans="1:12" ht="20.25" customHeight="1">
      <c r="A9" s="220" t="s">
        <v>622</v>
      </c>
      <c r="B9" s="205" t="s">
        <v>426</v>
      </c>
      <c r="C9" s="349"/>
      <c r="D9" s="452"/>
      <c r="E9" s="220" t="s">
        <v>810</v>
      </c>
      <c r="F9" s="148" t="s">
        <v>811</v>
      </c>
      <c r="G9" s="350">
        <v>138102</v>
      </c>
      <c r="H9" s="1462"/>
      <c r="I9" s="1463"/>
      <c r="J9" s="1463"/>
      <c r="K9" s="1463"/>
      <c r="L9" s="1464"/>
    </row>
    <row r="10" spans="1:12" ht="20.25" customHeight="1">
      <c r="A10" s="220" t="s">
        <v>771</v>
      </c>
      <c r="B10" s="205" t="s">
        <v>427</v>
      </c>
      <c r="C10" s="349">
        <v>14542</v>
      </c>
      <c r="D10" s="452"/>
      <c r="E10" s="220" t="s">
        <v>812</v>
      </c>
      <c r="F10" s="148" t="s">
        <v>813</v>
      </c>
      <c r="G10" s="350"/>
      <c r="H10" s="1462"/>
      <c r="I10" s="1463"/>
      <c r="J10" s="1463"/>
      <c r="K10" s="1463"/>
      <c r="L10" s="1464"/>
    </row>
    <row r="11" spans="1:12" ht="20.25" customHeight="1">
      <c r="A11" s="220" t="s">
        <v>772</v>
      </c>
      <c r="B11" s="205" t="s">
        <v>446</v>
      </c>
      <c r="C11" s="349">
        <v>75727</v>
      </c>
      <c r="D11" s="452"/>
      <c r="E11" s="220" t="s">
        <v>814</v>
      </c>
      <c r="F11" s="148" t="s">
        <v>815</v>
      </c>
      <c r="G11" s="350">
        <v>267461</v>
      </c>
      <c r="H11" s="1462"/>
      <c r="I11" s="1463"/>
      <c r="J11" s="1463"/>
      <c r="K11" s="1463"/>
      <c r="L11" s="1464"/>
    </row>
    <row r="12" spans="1:12" ht="20.25" customHeight="1">
      <c r="A12" s="220" t="s">
        <v>773</v>
      </c>
      <c r="B12" s="205" t="s">
        <v>447</v>
      </c>
      <c r="C12" s="349"/>
      <c r="D12" s="452"/>
      <c r="E12" s="220" t="s">
        <v>816</v>
      </c>
      <c r="F12" s="148" t="s">
        <v>817</v>
      </c>
      <c r="G12" s="350">
        <v>196925</v>
      </c>
      <c r="H12" s="1462"/>
      <c r="I12" s="1463"/>
      <c r="J12" s="1463"/>
      <c r="K12" s="1463"/>
      <c r="L12" s="1464"/>
    </row>
    <row r="13" spans="1:12" ht="20.25" customHeight="1" thickBot="1">
      <c r="A13" s="220" t="s">
        <v>774</v>
      </c>
      <c r="B13" s="205" t="s">
        <v>623</v>
      </c>
      <c r="C13" s="349"/>
      <c r="D13" s="452"/>
      <c r="E13" s="1182" t="s">
        <v>764</v>
      </c>
      <c r="F13" s="1184"/>
      <c r="G13" s="1180">
        <f>SUM(G7:G12)</f>
        <v>626839</v>
      </c>
      <c r="H13" s="1462"/>
      <c r="I13" s="1463"/>
      <c r="J13" s="1463"/>
      <c r="K13" s="1463"/>
      <c r="L13" s="1464"/>
    </row>
    <row r="14" spans="1:12" ht="20.25" customHeight="1">
      <c r="A14" s="220" t="s">
        <v>775</v>
      </c>
      <c r="B14" s="205" t="s">
        <v>624</v>
      </c>
      <c r="C14" s="349"/>
      <c r="D14" s="452"/>
      <c r="E14" s="1490" t="s">
        <v>753</v>
      </c>
      <c r="F14" s="1491"/>
      <c r="G14" s="1492"/>
      <c r="H14" s="1462"/>
      <c r="I14" s="1463"/>
      <c r="J14" s="1463"/>
      <c r="K14" s="1463"/>
      <c r="L14" s="1464"/>
    </row>
    <row r="15" spans="1:12" ht="20.25" customHeight="1">
      <c r="A15" s="220" t="s">
        <v>776</v>
      </c>
      <c r="B15" s="205" t="s">
        <v>767</v>
      </c>
      <c r="C15" s="349"/>
      <c r="D15" s="452"/>
      <c r="E15" s="220" t="s">
        <v>818</v>
      </c>
      <c r="F15" s="148" t="s">
        <v>437</v>
      </c>
      <c r="G15" s="350">
        <v>272611</v>
      </c>
      <c r="H15" s="1462"/>
      <c r="I15" s="1463"/>
      <c r="J15" s="1463"/>
      <c r="K15" s="1463"/>
      <c r="L15" s="1464"/>
    </row>
    <row r="16" spans="1:12" ht="20.25" customHeight="1">
      <c r="A16" s="220" t="s">
        <v>777</v>
      </c>
      <c r="B16" s="205" t="s">
        <v>625</v>
      </c>
      <c r="C16" s="349"/>
      <c r="D16" s="452"/>
      <c r="E16" s="220" t="s">
        <v>819</v>
      </c>
      <c r="F16" s="148" t="s">
        <v>820</v>
      </c>
      <c r="G16" s="350">
        <v>299719</v>
      </c>
      <c r="H16" s="1462"/>
      <c r="I16" s="1463"/>
      <c r="J16" s="1463"/>
      <c r="K16" s="1463"/>
      <c r="L16" s="1464"/>
    </row>
    <row r="17" spans="1:12" ht="20.25" customHeight="1">
      <c r="A17" s="220" t="s">
        <v>778</v>
      </c>
      <c r="B17" s="205" t="s">
        <v>768</v>
      </c>
      <c r="C17" s="349">
        <v>441623</v>
      </c>
      <c r="D17" s="452"/>
      <c r="E17" s="220" t="s">
        <v>821</v>
      </c>
      <c r="F17" s="148" t="s">
        <v>822</v>
      </c>
      <c r="G17" s="350">
        <v>500318</v>
      </c>
      <c r="H17" s="1462"/>
      <c r="I17" s="1463"/>
      <c r="J17" s="1463"/>
      <c r="K17" s="1463"/>
      <c r="L17" s="1464"/>
    </row>
    <row r="18" spans="1:12" ht="20.25" customHeight="1">
      <c r="A18" s="220" t="s">
        <v>779</v>
      </c>
      <c r="B18" s="205" t="s">
        <v>769</v>
      </c>
      <c r="C18" s="349"/>
      <c r="D18" s="452"/>
      <c r="E18" s="220" t="s">
        <v>823</v>
      </c>
      <c r="F18" s="148" t="s">
        <v>824</v>
      </c>
      <c r="G18" s="350"/>
      <c r="H18" s="1462"/>
      <c r="I18" s="1463"/>
      <c r="J18" s="1463"/>
      <c r="K18" s="1463"/>
      <c r="L18" s="1464"/>
    </row>
    <row r="19" spans="1:12" ht="20.25" customHeight="1">
      <c r="A19" s="220" t="s">
        <v>730</v>
      </c>
      <c r="B19" s="205" t="s">
        <v>324</v>
      </c>
      <c r="C19" s="349"/>
      <c r="D19" s="452"/>
      <c r="E19" s="220" t="s">
        <v>825</v>
      </c>
      <c r="F19" s="148" t="s">
        <v>826</v>
      </c>
      <c r="G19" s="350"/>
      <c r="H19" s="1462"/>
      <c r="I19" s="1463"/>
      <c r="J19" s="1463"/>
      <c r="K19" s="1463"/>
      <c r="L19" s="1464"/>
    </row>
    <row r="20" spans="1:12" ht="20.25" customHeight="1">
      <c r="A20" s="220" t="s">
        <v>731</v>
      </c>
      <c r="B20" s="205" t="s">
        <v>325</v>
      </c>
      <c r="C20" s="1179">
        <v>296690</v>
      </c>
      <c r="D20" s="452"/>
      <c r="E20" s="220" t="s">
        <v>827</v>
      </c>
      <c r="F20" s="148" t="s">
        <v>434</v>
      </c>
      <c r="G20" s="350"/>
      <c r="H20" s="1462"/>
      <c r="I20" s="1463"/>
      <c r="J20" s="1463"/>
      <c r="K20" s="1463"/>
      <c r="L20" s="1464"/>
    </row>
    <row r="21" spans="1:12" ht="20.25" customHeight="1" thickBot="1">
      <c r="A21" s="1182" t="s">
        <v>732</v>
      </c>
      <c r="B21" s="1184"/>
      <c r="C21" s="1180">
        <f>SUM(C7:C20)</f>
        <v>1699487</v>
      </c>
      <c r="D21" s="452"/>
      <c r="E21" s="220" t="s">
        <v>828</v>
      </c>
      <c r="F21" s="148" t="s">
        <v>829</v>
      </c>
      <c r="G21" s="349"/>
      <c r="H21" s="1462"/>
      <c r="I21" s="1463"/>
      <c r="J21" s="1463"/>
      <c r="K21" s="1463"/>
      <c r="L21" s="1464"/>
    </row>
    <row r="22" spans="1:12" ht="20.25" customHeight="1">
      <c r="A22" s="1490" t="s">
        <v>733</v>
      </c>
      <c r="B22" s="1491"/>
      <c r="C22" s="1492"/>
      <c r="D22" s="452"/>
      <c r="E22" s="220" t="s">
        <v>830</v>
      </c>
      <c r="F22" s="148" t="s">
        <v>435</v>
      </c>
      <c r="G22" s="350"/>
      <c r="H22" s="1462"/>
      <c r="I22" s="1463"/>
      <c r="J22" s="1463"/>
      <c r="K22" s="1463"/>
      <c r="L22" s="1464"/>
    </row>
    <row r="23" spans="1:12" ht="20.25" customHeight="1" thickBot="1">
      <c r="A23" s="220" t="s">
        <v>793</v>
      </c>
      <c r="B23" s="205" t="s">
        <v>780</v>
      </c>
      <c r="C23" s="349"/>
      <c r="D23" s="452"/>
      <c r="E23" s="220" t="s">
        <v>831</v>
      </c>
      <c r="F23" s="148" t="s">
        <v>436</v>
      </c>
      <c r="G23" s="350"/>
      <c r="H23" s="1465"/>
      <c r="I23" s="1466"/>
      <c r="J23" s="1466"/>
      <c r="K23" s="1466"/>
      <c r="L23" s="1467"/>
    </row>
    <row r="24" spans="1:12" ht="20.25" customHeight="1">
      <c r="A24" s="351" t="s">
        <v>794</v>
      </c>
      <c r="B24" s="205" t="s">
        <v>781</v>
      </c>
      <c r="C24" s="349"/>
      <c r="D24" s="452"/>
      <c r="E24" s="220" t="s">
        <v>832</v>
      </c>
      <c r="F24" s="186" t="s">
        <v>833</v>
      </c>
      <c r="G24" s="350"/>
      <c r="H24" s="1468"/>
      <c r="I24" s="1469"/>
      <c r="J24" s="1469"/>
      <c r="K24" s="1469"/>
      <c r="L24" s="1470"/>
    </row>
    <row r="25" spans="1:12" ht="20.25" customHeight="1" thickBot="1">
      <c r="A25" s="220" t="s">
        <v>795</v>
      </c>
      <c r="B25" s="205" t="s">
        <v>782</v>
      </c>
      <c r="C25" s="349"/>
      <c r="D25" s="452"/>
      <c r="E25" s="220" t="s">
        <v>834</v>
      </c>
      <c r="F25" s="148" t="s">
        <v>432</v>
      </c>
      <c r="G25" s="350"/>
      <c r="H25" s="1471"/>
      <c r="I25" s="1472"/>
      <c r="J25" s="1472"/>
      <c r="K25" s="1472"/>
      <c r="L25" s="1473"/>
    </row>
    <row r="26" spans="1:12" ht="20.25" customHeight="1">
      <c r="A26" s="446" t="s">
        <v>796</v>
      </c>
      <c r="B26" s="205" t="s">
        <v>783</v>
      </c>
      <c r="C26" s="349"/>
      <c r="D26" s="452"/>
      <c r="E26" s="220" t="s">
        <v>835</v>
      </c>
      <c r="F26" s="148" t="s">
        <v>433</v>
      </c>
      <c r="G26" s="350"/>
      <c r="H26" s="1462"/>
      <c r="I26" s="1463"/>
      <c r="J26" s="1463"/>
      <c r="K26" s="1463"/>
      <c r="L26" s="1464"/>
    </row>
    <row r="27" spans="1:12" ht="20.25" customHeight="1">
      <c r="A27" s="446" t="s">
        <v>797</v>
      </c>
      <c r="B27" s="148" t="s">
        <v>784</v>
      </c>
      <c r="C27" s="349"/>
      <c r="D27" s="452"/>
      <c r="E27" s="220" t="s">
        <v>836</v>
      </c>
      <c r="F27" s="148" t="s">
        <v>837</v>
      </c>
      <c r="G27" s="350"/>
      <c r="H27" s="1462"/>
      <c r="I27" s="1463"/>
      <c r="J27" s="1463"/>
      <c r="K27" s="1463"/>
      <c r="L27" s="1464"/>
    </row>
    <row r="28" spans="1:12" ht="20.25" customHeight="1">
      <c r="A28" s="220" t="s">
        <v>798</v>
      </c>
      <c r="B28" s="148" t="s">
        <v>785</v>
      </c>
      <c r="C28" s="349"/>
      <c r="D28" s="452"/>
      <c r="E28" s="220" t="s">
        <v>838</v>
      </c>
      <c r="F28" s="148" t="s">
        <v>327</v>
      </c>
      <c r="G28" s="350"/>
      <c r="H28" s="1462"/>
      <c r="I28" s="1463"/>
      <c r="J28" s="1463"/>
      <c r="K28" s="1463"/>
      <c r="L28" s="1464"/>
    </row>
    <row r="29" spans="1:12" ht="20.25" customHeight="1" thickBot="1">
      <c r="A29" s="220" t="s">
        <v>799</v>
      </c>
      <c r="B29" s="148" t="s">
        <v>786</v>
      </c>
      <c r="C29" s="349"/>
      <c r="D29" s="452"/>
      <c r="E29" s="1182" t="s">
        <v>763</v>
      </c>
      <c r="F29" s="1181"/>
      <c r="G29" s="1180">
        <f>SUM(G15:G28)</f>
        <v>1072648</v>
      </c>
      <c r="H29" s="1462"/>
      <c r="I29" s="1463"/>
      <c r="J29" s="1463"/>
      <c r="K29" s="1463"/>
      <c r="L29" s="1464"/>
    </row>
    <row r="30" spans="1:12" ht="20.25" customHeight="1">
      <c r="A30" s="220" t="s">
        <v>800</v>
      </c>
      <c r="B30" s="148" t="s">
        <v>787</v>
      </c>
      <c r="C30" s="349"/>
      <c r="D30" s="452"/>
      <c r="E30" s="1490" t="s">
        <v>765</v>
      </c>
      <c r="F30" s="1491"/>
      <c r="G30" s="1492"/>
      <c r="H30" s="1462"/>
      <c r="I30" s="1463"/>
      <c r="J30" s="1463"/>
      <c r="K30" s="1463"/>
      <c r="L30" s="1464"/>
    </row>
    <row r="31" spans="1:12" ht="20.25" customHeight="1">
      <c r="A31" s="220" t="s">
        <v>801</v>
      </c>
      <c r="B31" s="148" t="s">
        <v>788</v>
      </c>
      <c r="C31" s="349"/>
      <c r="D31" s="452"/>
      <c r="E31" s="220" t="s">
        <v>839</v>
      </c>
      <c r="F31" s="1197" t="s">
        <v>840</v>
      </c>
      <c r="G31" s="350"/>
      <c r="H31" s="1462"/>
      <c r="I31" s="1463"/>
      <c r="J31" s="1463"/>
      <c r="K31" s="1463"/>
      <c r="L31" s="1464"/>
    </row>
    <row r="32" spans="1:12" ht="20.25" customHeight="1">
      <c r="A32" s="220" t="s">
        <v>802</v>
      </c>
      <c r="B32" s="148" t="s">
        <v>789</v>
      </c>
      <c r="C32" s="349"/>
      <c r="D32" s="452"/>
      <c r="E32" s="220" t="s">
        <v>654</v>
      </c>
      <c r="F32" s="1197" t="s">
        <v>653</v>
      </c>
      <c r="G32" s="350"/>
      <c r="H32" s="1462"/>
      <c r="I32" s="1463"/>
      <c r="J32" s="1463"/>
      <c r="K32" s="1463"/>
      <c r="L32" s="1464"/>
    </row>
    <row r="33" spans="1:12" ht="20.25" customHeight="1" thickBot="1">
      <c r="A33" s="220" t="s">
        <v>743</v>
      </c>
      <c r="B33" s="148" t="s">
        <v>736</v>
      </c>
      <c r="C33" s="349"/>
      <c r="D33" s="452"/>
      <c r="E33" s="1182" t="s">
        <v>766</v>
      </c>
      <c r="F33" s="1181"/>
      <c r="G33" s="1180">
        <f>SUM(G31:G32)</f>
        <v>0</v>
      </c>
      <c r="H33" s="1462"/>
      <c r="I33" s="1463"/>
      <c r="J33" s="1463"/>
      <c r="K33" s="1463"/>
      <c r="L33" s="1464"/>
    </row>
    <row r="34" spans="1:12" ht="20.25" customHeight="1">
      <c r="A34" s="220" t="s">
        <v>803</v>
      </c>
      <c r="B34" s="148" t="s">
        <v>790</v>
      </c>
      <c r="C34" s="349"/>
      <c r="D34" s="452"/>
      <c r="E34" s="1186"/>
      <c r="F34" s="1187"/>
      <c r="G34" s="1188"/>
      <c r="H34" s="1462"/>
      <c r="I34" s="1463"/>
      <c r="J34" s="1463"/>
      <c r="K34" s="1463"/>
      <c r="L34" s="1464"/>
    </row>
    <row r="35" spans="1:12" ht="20.25" customHeight="1">
      <c r="A35" s="220" t="s">
        <v>804</v>
      </c>
      <c r="B35" s="148" t="s">
        <v>791</v>
      </c>
      <c r="C35" s="349"/>
      <c r="D35" s="452"/>
      <c r="E35" s="1192"/>
      <c r="F35" s="1193"/>
      <c r="G35" s="1190"/>
      <c r="H35" s="1462"/>
      <c r="I35" s="1463"/>
      <c r="J35" s="1463"/>
      <c r="K35" s="1463"/>
      <c r="L35" s="1464"/>
    </row>
    <row r="36" spans="1:12" ht="20.25" customHeight="1">
      <c r="A36" s="220" t="s">
        <v>805</v>
      </c>
      <c r="B36" s="148" t="s">
        <v>792</v>
      </c>
      <c r="C36" s="349"/>
      <c r="D36" s="452"/>
      <c r="E36" s="1192"/>
      <c r="F36" s="1193"/>
      <c r="G36" s="1190"/>
      <c r="H36" s="1462"/>
      <c r="I36" s="1463"/>
      <c r="J36" s="1463"/>
      <c r="K36" s="1463"/>
      <c r="L36" s="1464"/>
    </row>
    <row r="37" spans="1:12" ht="20.25" customHeight="1">
      <c r="A37" s="220" t="s">
        <v>744</v>
      </c>
      <c r="B37" s="148" t="s">
        <v>737</v>
      </c>
      <c r="C37" s="349"/>
      <c r="D37" s="452"/>
      <c r="E37" s="1192"/>
      <c r="F37" s="1198"/>
      <c r="G37" s="1190"/>
      <c r="H37" s="1462"/>
      <c r="I37" s="1463"/>
      <c r="J37" s="1463"/>
      <c r="K37" s="1463"/>
      <c r="L37" s="1464"/>
    </row>
    <row r="38" spans="1:12" ht="20.25" customHeight="1">
      <c r="A38" s="220" t="s">
        <v>745</v>
      </c>
      <c r="B38" s="148" t="s">
        <v>738</v>
      </c>
      <c r="C38" s="349"/>
      <c r="D38" s="452"/>
      <c r="E38" s="1192"/>
      <c r="F38" s="1193"/>
      <c r="G38" s="1190"/>
      <c r="H38" s="1462"/>
      <c r="I38" s="1463"/>
      <c r="J38" s="1463"/>
      <c r="K38" s="1463"/>
      <c r="L38" s="1464"/>
    </row>
    <row r="39" spans="1:12" ht="20.25" customHeight="1">
      <c r="A39" s="220" t="s">
        <v>746</v>
      </c>
      <c r="B39" s="148" t="s">
        <v>326</v>
      </c>
      <c r="C39" s="1179"/>
      <c r="D39" s="452"/>
      <c r="E39" s="1192"/>
      <c r="F39" s="1193"/>
      <c r="G39" s="1190"/>
      <c r="H39" s="1462"/>
      <c r="I39" s="1463"/>
      <c r="J39" s="1463"/>
      <c r="K39" s="1463"/>
      <c r="L39" s="1464"/>
    </row>
    <row r="40" spans="1:12" ht="20.25" customHeight="1" thickBot="1">
      <c r="A40" s="1182" t="s">
        <v>747</v>
      </c>
      <c r="B40" s="1184"/>
      <c r="C40" s="1180">
        <f>SUM(C23:C39)</f>
        <v>0</v>
      </c>
      <c r="D40" s="452"/>
      <c r="E40" s="1192"/>
      <c r="F40" s="1193"/>
      <c r="G40" s="1190"/>
      <c r="H40" s="1462"/>
      <c r="I40" s="1463"/>
      <c r="J40" s="1463"/>
      <c r="K40" s="1463"/>
      <c r="L40" s="1464"/>
    </row>
    <row r="41" spans="1:12" ht="20.25" customHeight="1">
      <c r="A41" s="1490" t="s">
        <v>806</v>
      </c>
      <c r="B41" s="1491"/>
      <c r="C41" s="1492"/>
      <c r="D41" s="452"/>
      <c r="E41" s="1192"/>
      <c r="F41" s="1193"/>
      <c r="G41" s="1190"/>
      <c r="H41" s="1462"/>
      <c r="I41" s="1463"/>
      <c r="J41" s="1463"/>
      <c r="K41" s="1463"/>
      <c r="L41" s="1464"/>
    </row>
    <row r="42" spans="1:12" ht="20.25" customHeight="1">
      <c r="A42" s="220" t="s">
        <v>626</v>
      </c>
      <c r="B42" s="148" t="s">
        <v>428</v>
      </c>
      <c r="C42" s="349"/>
      <c r="D42" s="452"/>
      <c r="E42" s="1192"/>
      <c r="F42" s="1193"/>
      <c r="G42" s="1190"/>
      <c r="H42" s="1462"/>
      <c r="I42" s="1463"/>
      <c r="J42" s="1463"/>
      <c r="K42" s="1463"/>
      <c r="L42" s="1464"/>
    </row>
    <row r="43" spans="1:12" ht="20.25" customHeight="1">
      <c r="A43" s="220" t="s">
        <v>627</v>
      </c>
      <c r="B43" s="148" t="s">
        <v>429</v>
      </c>
      <c r="C43" s="1179"/>
      <c r="D43" s="452"/>
      <c r="E43" s="1192"/>
      <c r="F43" s="1193"/>
      <c r="G43" s="1190"/>
      <c r="H43" s="1462"/>
      <c r="I43" s="1463"/>
      <c r="J43" s="1463"/>
      <c r="K43" s="1463"/>
      <c r="L43" s="1464"/>
    </row>
    <row r="44" spans="1:12" ht="20.25" customHeight="1" thickBot="1">
      <c r="A44" s="1182" t="s">
        <v>807</v>
      </c>
      <c r="B44" s="1184"/>
      <c r="C44" s="1180">
        <f>SUM(C42:C43)</f>
        <v>0</v>
      </c>
      <c r="D44" s="452"/>
      <c r="E44" s="1194"/>
      <c r="F44" s="1199"/>
      <c r="G44" s="1196"/>
      <c r="H44" s="1462"/>
      <c r="I44" s="1463"/>
      <c r="J44" s="1463"/>
      <c r="K44" s="1463"/>
      <c r="L44" s="1464"/>
    </row>
    <row r="45" spans="1:12" ht="20.25" customHeight="1" thickBot="1">
      <c r="A45" s="1486" t="s">
        <v>78</v>
      </c>
      <c r="B45" s="1487"/>
      <c r="C45" s="586">
        <f>C21+C40+C44</f>
        <v>1699487</v>
      </c>
      <c r="D45" s="181"/>
      <c r="E45" s="1488" t="s">
        <v>78</v>
      </c>
      <c r="F45" s="1489"/>
      <c r="G45" s="587">
        <f>G13+G29+G33</f>
        <v>1699487</v>
      </c>
      <c r="H45" s="1465"/>
      <c r="I45" s="1466"/>
      <c r="J45" s="1466"/>
      <c r="K45" s="1466"/>
      <c r="L45" s="1467"/>
    </row>
    <row r="46" ht="18" customHeight="1"/>
    <row r="47" ht="10.5">
      <c r="A47" s="449" t="s">
        <v>199</v>
      </c>
    </row>
    <row r="52" ht="9" customHeight="1"/>
    <row r="53" ht="10.5" hidden="1"/>
    <row r="54" ht="8.25" customHeight="1" hidden="1"/>
    <row r="55" s="448" customFormat="1" ht="23.25" customHeight="1">
      <c r="B55" s="451"/>
    </row>
    <row r="56" s="448" customFormat="1" ht="10.5">
      <c r="B56" s="451"/>
    </row>
  </sheetData>
  <sheetProtection password="EA98" sheet="1" formatColumns="0" selectLockedCells="1"/>
  <mergeCells count="15">
    <mergeCell ref="A6:C6"/>
    <mergeCell ref="A22:C22"/>
    <mergeCell ref="A41:C41"/>
    <mergeCell ref="E6:G6"/>
    <mergeCell ref="E14:G14"/>
    <mergeCell ref="E30:G30"/>
    <mergeCell ref="A45:B45"/>
    <mergeCell ref="E45:F45"/>
    <mergeCell ref="A1:G1"/>
    <mergeCell ref="E2:G2"/>
    <mergeCell ref="H26:L45"/>
    <mergeCell ref="H24:L25"/>
    <mergeCell ref="H4:L23"/>
    <mergeCell ref="A3:F3"/>
    <mergeCell ref="H3:L3"/>
  </mergeCells>
  <dataValidations count="1">
    <dataValidation type="whole" allowBlank="1" showInputMessage="1" showErrorMessage="1" errorTitle="ERRORE NEL DATO IMMESSO" error="INSERIRE SOLO NUMERI INTERI" sqref="C42:C44 G43:G44 C23:C40 C7:C21 G7:G13 G15:G29 G31:G39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36">
    <tabColor rgb="FFCC0099"/>
  </sheetPr>
  <dimension ref="A1:X50"/>
  <sheetViews>
    <sheetView showGridLines="0" zoomScalePageLayoutView="0" workbookViewId="0" topLeftCell="A1">
      <pane xSplit="2" ySplit="5" topLeftCell="C6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A2" sqref="A2"/>
    </sheetView>
  </sheetViews>
  <sheetFormatPr defaultColWidth="9.33203125" defaultRowHeight="10.5"/>
  <cols>
    <col min="1" max="1" width="52" style="5" customWidth="1"/>
    <col min="2" max="2" width="10" style="7" customWidth="1"/>
    <col min="3" max="5" width="10.83203125" style="7" customWidth="1"/>
    <col min="6" max="8" width="11.83203125" style="7" customWidth="1"/>
    <col min="9" max="14" width="13.83203125" style="7" customWidth="1"/>
    <col min="15" max="19" width="14.83203125" style="7" customWidth="1"/>
    <col min="20" max="20" width="9.33203125" style="116" customWidth="1"/>
  </cols>
  <sheetData>
    <row r="1" spans="1:23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408"/>
      <c r="K1" s="408"/>
      <c r="L1" s="408"/>
      <c r="M1" s="408"/>
      <c r="N1" s="408"/>
      <c r="O1" s="408"/>
      <c r="P1" s="408"/>
      <c r="Q1" s="408"/>
      <c r="R1" s="408"/>
      <c r="S1" s="408"/>
      <c r="U1" s="3"/>
      <c r="W1"/>
    </row>
    <row r="2" spans="9:23" s="5" customFormat="1" ht="21" customHeight="1">
      <c r="I2" s="1110"/>
      <c r="J2" s="1110"/>
      <c r="K2" s="1110"/>
      <c r="L2" s="1110"/>
      <c r="M2" s="1110"/>
      <c r="N2" s="1110"/>
      <c r="O2" s="1110"/>
      <c r="P2" s="1110"/>
      <c r="Q2" s="1110"/>
      <c r="R2" s="1110"/>
      <c r="S2" s="1110"/>
      <c r="T2" s="374"/>
      <c r="U2" s="3"/>
      <c r="W2"/>
    </row>
    <row r="3" spans="1:4" s="5" customFormat="1" ht="21" customHeight="1">
      <c r="A3" s="215" t="s">
        <v>560</v>
      </c>
      <c r="B3" s="7"/>
      <c r="C3" s="7"/>
      <c r="D3" s="7"/>
    </row>
    <row r="4" spans="1:19" s="5" customFormat="1" ht="21" customHeight="1">
      <c r="A4" s="215"/>
      <c r="B4" s="7"/>
      <c r="C4" s="7"/>
      <c r="D4" s="7"/>
      <c r="F4" s="1493" t="s">
        <v>561</v>
      </c>
      <c r="G4" s="1494"/>
      <c r="H4" s="1495"/>
      <c r="I4" s="1493" t="s">
        <v>562</v>
      </c>
      <c r="J4" s="1494"/>
      <c r="K4" s="1494"/>
      <c r="L4" s="1494"/>
      <c r="M4" s="1494"/>
      <c r="N4" s="1495"/>
      <c r="O4" s="1493" t="s">
        <v>563</v>
      </c>
      <c r="P4" s="1494"/>
      <c r="Q4" s="1494"/>
      <c r="R4" s="1494"/>
      <c r="S4" s="1495"/>
    </row>
    <row r="5" spans="1:19" ht="63">
      <c r="A5" s="1111" t="s">
        <v>250</v>
      </c>
      <c r="B5" s="1112" t="s">
        <v>212</v>
      </c>
      <c r="C5" s="1113" t="str">
        <f>"presenti al 31/12/"&amp;'t1'!M1&amp;" (tab.1)"</f>
        <v>presenti al 31/12/2009 (tab.1)</v>
      </c>
      <c r="D5" s="1113" t="s">
        <v>897</v>
      </c>
      <c r="E5" s="1114" t="s">
        <v>564</v>
      </c>
      <c r="F5" s="1115" t="str">
        <f>'t11'!C4</f>
        <v>FERIE</v>
      </c>
      <c r="G5" s="1115" t="s">
        <v>565</v>
      </c>
      <c r="H5" s="1115" t="s">
        <v>566</v>
      </c>
      <c r="I5" s="1115" t="s">
        <v>567</v>
      </c>
      <c r="J5" s="1115" t="str">
        <f>'t12'!F4</f>
        <v>R.I.A./ PROGR. ECONOMICA DI ANZIANITA'</v>
      </c>
      <c r="K5" s="1115" t="str">
        <f>'t12'!G4</f>
        <v>TREDICESIMA MENSILTA'</v>
      </c>
      <c r="L5" s="1116" t="s">
        <v>568</v>
      </c>
      <c r="M5" s="1117" t="str">
        <f>'t12'!I4</f>
        <v>ARRETRATI  ANNI PRECEDENTI</v>
      </c>
      <c r="N5" s="1117" t="str">
        <f>'t12'!J4</f>
        <v>RECUPERI DERIVANTI DA ASSENZE, RITARDI, ECC.</v>
      </c>
      <c r="O5" s="1115" t="s">
        <v>409</v>
      </c>
      <c r="P5" s="1115" t="s">
        <v>569</v>
      </c>
      <c r="Q5" s="1115" t="s">
        <v>570</v>
      </c>
      <c r="R5" s="1116" t="s">
        <v>571</v>
      </c>
      <c r="S5" s="1117" t="str">
        <f>'t13'!M4</f>
        <v>ARRETRATI ANNI PRECEDENTI</v>
      </c>
    </row>
    <row r="6" spans="1:19" ht="11.25">
      <c r="A6" s="147" t="str">
        <f>'t1'!A6</f>
        <v>SEGRETARIO A</v>
      </c>
      <c r="B6" s="377" t="str">
        <f>'t1'!B6</f>
        <v>0D0102</v>
      </c>
      <c r="C6" s="1118">
        <f>'t1'!L6+'t1'!M6</f>
        <v>1</v>
      </c>
      <c r="D6" s="1118">
        <f>('t1'!L6+'t1'!M6)-SUM('t3'!C6:F6,'t3'!I6:L6)+SUM('t3'!M6:P6)</f>
        <v>1</v>
      </c>
      <c r="E6" s="1119">
        <f>'t12'!C6/12</f>
        <v>1</v>
      </c>
      <c r="F6" s="1119">
        <f>IF($D6&gt;0,(('t11'!C8+'t11'!D8)/$D6)," ")</f>
        <v>32</v>
      </c>
      <c r="G6" s="1119">
        <f>IF($D6&gt;0,(SUM('t11'!E8:T8)/$D6)," ")</f>
        <v>5</v>
      </c>
      <c r="H6" s="1119">
        <f>IF($D6&gt;0,(SUM('t11'!U8:X8)/$D6)," ")</f>
        <v>0</v>
      </c>
      <c r="I6" s="1120">
        <f>IF($E6=0," ",('t12'!D6+'t12'!E6+'t12'!H6)/$E6)</f>
        <v>32262</v>
      </c>
      <c r="J6" s="1120">
        <f>IF($E6=0," ",'t12'!F6/$E6)</f>
        <v>4766</v>
      </c>
      <c r="K6" s="1120">
        <f>IF($E6=0," ",'t12'!G6/$E6)</f>
        <v>7280</v>
      </c>
      <c r="L6" s="1121">
        <f>SUM(I6:K6)</f>
        <v>44308</v>
      </c>
      <c r="M6" s="1122">
        <f>IF($E6=0," ",'t12'!I6/$E6)</f>
        <v>0</v>
      </c>
      <c r="N6" s="1122">
        <f>IF($E6=0," ",'t12'!J6/$E6)</f>
        <v>0</v>
      </c>
      <c r="O6" s="1120">
        <f>IF($E6=0," ",'t13'!O6/$E6)</f>
        <v>0</v>
      </c>
      <c r="P6" s="1120">
        <f>IF($E6=0," ",SUM('t13'!C6:H6)/$E6)</f>
        <v>61476</v>
      </c>
      <c r="Q6" s="1120">
        <f>IF($E6=0," ",(SUM('t13'!I6:L6)+'t13'!N6)/$E6)</f>
        <v>38604</v>
      </c>
      <c r="R6" s="1121">
        <f>SUM(O6:Q6)</f>
        <v>100080</v>
      </c>
      <c r="S6" s="1122">
        <f>IF($E6=0," ",'t13'!M6/$E6)</f>
        <v>201</v>
      </c>
    </row>
    <row r="7" spans="1:19" ht="11.25">
      <c r="A7" s="147" t="str">
        <f>'t1'!A7</f>
        <v>SEGRETARIO B</v>
      </c>
      <c r="B7" s="377" t="str">
        <f>'t1'!B7</f>
        <v>0D0103</v>
      </c>
      <c r="C7" s="1118">
        <f>'t1'!L7+'t1'!M7</f>
        <v>0</v>
      </c>
      <c r="D7" s="1118">
        <f>('t1'!L7+'t1'!M7)-SUM('t3'!C7:F7,'t3'!I7:L7)+SUM('t3'!M7:P7)</f>
        <v>0</v>
      </c>
      <c r="E7" s="1119">
        <f>'t12'!C7/12</f>
        <v>0</v>
      </c>
      <c r="F7" s="1119" t="str">
        <f>IF($D7&gt;0,(('t11'!C9+'t11'!D9)/$D7)," ")</f>
        <v> </v>
      </c>
      <c r="G7" s="1119" t="str">
        <f>IF($D7&gt;0,(SUM('t11'!E9:T9)/$D7)," ")</f>
        <v> </v>
      </c>
      <c r="H7" s="1119" t="str">
        <f>IF($D7&gt;0,(SUM('t11'!U9:X9)/$D7)," ")</f>
        <v> </v>
      </c>
      <c r="I7" s="1120" t="str">
        <f>IF($E7=0," ",('t12'!D7+'t12'!E7+'t12'!H7)/$E7)</f>
        <v> </v>
      </c>
      <c r="J7" s="1120" t="str">
        <f>IF($E7=0," ",'t12'!F7/$E7)</f>
        <v> </v>
      </c>
      <c r="K7" s="1120" t="str">
        <f>IF($E7=0," ",'t12'!G7/$E7)</f>
        <v> </v>
      </c>
      <c r="L7" s="1121">
        <f aca="true" t="shared" si="0" ref="L7:L48">SUM(I7:K7)</f>
        <v>0</v>
      </c>
      <c r="M7" s="1122" t="str">
        <f>IF($E7=0," ",'t12'!I7/$E7)</f>
        <v> </v>
      </c>
      <c r="N7" s="1122" t="str">
        <f>IF($E7=0," ",'t12'!J7/$E7)</f>
        <v> </v>
      </c>
      <c r="O7" s="1120" t="str">
        <f>IF($E7=0," ",'t13'!O7/$E7)</f>
        <v> </v>
      </c>
      <c r="P7" s="1120" t="str">
        <f>IF($E7=0," ",SUM('t13'!C7:H7)/$E7)</f>
        <v> </v>
      </c>
      <c r="Q7" s="1120" t="str">
        <f>IF($E7=0," ",(SUM('t13'!I7:L7)+'t13'!N7)/$E7)</f>
        <v> </v>
      </c>
      <c r="R7" s="1121">
        <f aca="true" t="shared" si="1" ref="R7:R48">SUM(O7:Q7)</f>
        <v>0</v>
      </c>
      <c r="S7" s="1122" t="str">
        <f>IF($E7=0," ",'t13'!M7/$E7)</f>
        <v> </v>
      </c>
    </row>
    <row r="8" spans="1:19" ht="11.25">
      <c r="A8" s="147" t="str">
        <f>'t1'!A8</f>
        <v>SEGRETARIO C</v>
      </c>
      <c r="B8" s="377" t="str">
        <f>'t1'!B8</f>
        <v>0D0485</v>
      </c>
      <c r="C8" s="1118">
        <f>'t1'!L8+'t1'!M8</f>
        <v>0</v>
      </c>
      <c r="D8" s="1118">
        <f>('t1'!L8+'t1'!M8)-SUM('t3'!C8:F8,'t3'!I8:L8)+SUM('t3'!M8:P8)</f>
        <v>0</v>
      </c>
      <c r="E8" s="1119">
        <f>'t12'!C8/12</f>
        <v>0</v>
      </c>
      <c r="F8" s="1119" t="str">
        <f>IF($D8&gt;0,(('t11'!C10+'t11'!D10)/$D8)," ")</f>
        <v> </v>
      </c>
      <c r="G8" s="1119" t="str">
        <f>IF($D8&gt;0,(SUM('t11'!E10:T10)/$D8)," ")</f>
        <v> </v>
      </c>
      <c r="H8" s="1119" t="str">
        <f>IF($D8&gt;0,(SUM('t11'!U10:X10)/$D8)," ")</f>
        <v> </v>
      </c>
      <c r="I8" s="1120" t="str">
        <f>IF($E8=0," ",('t12'!D8+'t12'!E8+'t12'!H8)/$E8)</f>
        <v> </v>
      </c>
      <c r="J8" s="1120" t="str">
        <f>IF($E8=0," ",'t12'!F8/$E8)</f>
        <v> </v>
      </c>
      <c r="K8" s="1120" t="str">
        <f>IF($E8=0," ",'t12'!G8/$E8)</f>
        <v> </v>
      </c>
      <c r="L8" s="1121">
        <f t="shared" si="0"/>
        <v>0</v>
      </c>
      <c r="M8" s="1122" t="str">
        <f>IF($E8=0," ",'t12'!I8/$E8)</f>
        <v> </v>
      </c>
      <c r="N8" s="1122" t="str">
        <f>IF($E8=0," ",'t12'!J8/$E8)</f>
        <v> </v>
      </c>
      <c r="O8" s="1120" t="str">
        <f>IF($E8=0," ",'t13'!O8/$E8)</f>
        <v> </v>
      </c>
      <c r="P8" s="1120" t="str">
        <f>IF($E8=0," ",SUM('t13'!C8:H8)/$E8)</f>
        <v> </v>
      </c>
      <c r="Q8" s="1120" t="str">
        <f>IF($E8=0," ",(SUM('t13'!I8:L8)+'t13'!N8)/$E8)</f>
        <v> </v>
      </c>
      <c r="R8" s="1121">
        <f t="shared" si="1"/>
        <v>0</v>
      </c>
      <c r="S8" s="1122" t="str">
        <f>IF($E8=0," ",'t13'!M8/$E8)</f>
        <v> </v>
      </c>
    </row>
    <row r="9" spans="1:19" ht="11.25">
      <c r="A9" s="147" t="str">
        <f>'t1'!A9</f>
        <v>SEGRETARIO GENERALE CCIAA</v>
      </c>
      <c r="B9" s="377" t="str">
        <f>'t1'!B9</f>
        <v>0D0104</v>
      </c>
      <c r="C9" s="1118">
        <f>'t1'!L9+'t1'!M9</f>
        <v>0</v>
      </c>
      <c r="D9" s="1118">
        <f>('t1'!L9+'t1'!M9)-SUM('t3'!C9:F9,'t3'!I9:L9)+SUM('t3'!M9:P9)</f>
        <v>0</v>
      </c>
      <c r="E9" s="1119">
        <f>'t12'!C9/12</f>
        <v>0</v>
      </c>
      <c r="F9" s="1119" t="str">
        <f>IF($D9&gt;0,(('t11'!C11+'t11'!D11)/$D9)," ")</f>
        <v> </v>
      </c>
      <c r="G9" s="1119" t="str">
        <f>IF($D9&gt;0,(SUM('t11'!E11:T11)/$D9)," ")</f>
        <v> </v>
      </c>
      <c r="H9" s="1119" t="str">
        <f>IF($D9&gt;0,(SUM('t11'!U11:X11)/$D9)," ")</f>
        <v> </v>
      </c>
      <c r="I9" s="1120" t="str">
        <f>IF($E9=0," ",('t12'!D9+'t12'!E9+'t12'!H9)/$E9)</f>
        <v> </v>
      </c>
      <c r="J9" s="1120" t="str">
        <f>IF($E9=0," ",'t12'!F9/$E9)</f>
        <v> </v>
      </c>
      <c r="K9" s="1120" t="str">
        <f>IF($E9=0," ",'t12'!G9/$E9)</f>
        <v> </v>
      </c>
      <c r="L9" s="1121">
        <f t="shared" si="0"/>
        <v>0</v>
      </c>
      <c r="M9" s="1122" t="str">
        <f>IF($E9=0," ",'t12'!I9/$E9)</f>
        <v> </v>
      </c>
      <c r="N9" s="1122" t="str">
        <f>IF($E9=0," ",'t12'!J9/$E9)</f>
        <v> </v>
      </c>
      <c r="O9" s="1120" t="str">
        <f>IF($E9=0," ",'t13'!O9/$E9)</f>
        <v> </v>
      </c>
      <c r="P9" s="1120" t="str">
        <f>IF($E9=0," ",SUM('t13'!C9:H9)/$E9)</f>
        <v> </v>
      </c>
      <c r="Q9" s="1120" t="str">
        <f>IF($E9=0," ",(SUM('t13'!I9:L9)+'t13'!N9)/$E9)</f>
        <v> </v>
      </c>
      <c r="R9" s="1121">
        <f t="shared" si="1"/>
        <v>0</v>
      </c>
      <c r="S9" s="1122" t="str">
        <f>IF($E9=0," ",'t13'!M9/$E9)</f>
        <v> </v>
      </c>
    </row>
    <row r="10" spans="1:19" ht="11.25">
      <c r="A10" s="147" t="str">
        <f>'t1'!A10</f>
        <v>DIRETTORE  GENERALE</v>
      </c>
      <c r="B10" s="377" t="str">
        <f>'t1'!B10</f>
        <v>0D0097</v>
      </c>
      <c r="C10" s="1118">
        <f>'t1'!L10+'t1'!M10</f>
        <v>0</v>
      </c>
      <c r="D10" s="1118">
        <f>('t1'!L10+'t1'!M10)-SUM('t3'!C10:F10,'t3'!I10:L10)+SUM('t3'!M10:P10)</f>
        <v>0</v>
      </c>
      <c r="E10" s="1119">
        <f>'t12'!C10/12</f>
        <v>0</v>
      </c>
      <c r="F10" s="1119" t="str">
        <f>IF($D10&gt;0,(('t11'!C12+'t11'!D12)/$D10)," ")</f>
        <v> </v>
      </c>
      <c r="G10" s="1119" t="str">
        <f>IF($D10&gt;0,(SUM('t11'!E12:T12)/$D10)," ")</f>
        <v> </v>
      </c>
      <c r="H10" s="1119" t="str">
        <f>IF($D10&gt;0,(SUM('t11'!U12:X12)/$D10)," ")</f>
        <v> </v>
      </c>
      <c r="I10" s="1120" t="str">
        <f>IF($E10=0," ",('t12'!D10+'t12'!E10+'t12'!H10)/$E10)</f>
        <v> </v>
      </c>
      <c r="J10" s="1120" t="str">
        <f>IF($E10=0," ",'t12'!F10/$E10)</f>
        <v> </v>
      </c>
      <c r="K10" s="1120" t="str">
        <f>IF($E10=0," ",'t12'!G10/$E10)</f>
        <v> </v>
      </c>
      <c r="L10" s="1121">
        <f t="shared" si="0"/>
        <v>0</v>
      </c>
      <c r="M10" s="1122" t="str">
        <f>IF($E10=0," ",'t12'!I10/$E10)</f>
        <v> </v>
      </c>
      <c r="N10" s="1122" t="str">
        <f>IF($E10=0," ",'t12'!J10/$E10)</f>
        <v> </v>
      </c>
      <c r="O10" s="1120" t="str">
        <f>IF($E10=0," ",'t13'!O10/$E10)</f>
        <v> </v>
      </c>
      <c r="P10" s="1120" t="str">
        <f>IF($E10=0," ",SUM('t13'!C10:H10)/$E10)</f>
        <v> </v>
      </c>
      <c r="Q10" s="1120" t="str">
        <f>IF($E10=0," ",(SUM('t13'!I10:L10)+'t13'!N10)/$E10)</f>
        <v> </v>
      </c>
      <c r="R10" s="1121">
        <f t="shared" si="1"/>
        <v>0</v>
      </c>
      <c r="S10" s="1122" t="str">
        <f>IF($E10=0," ",'t13'!M10/$E10)</f>
        <v> </v>
      </c>
    </row>
    <row r="11" spans="1:19" ht="11.25">
      <c r="A11" s="147" t="str">
        <f>'t1'!A11</f>
        <v>DIRIGENTE FUORI D.O.</v>
      </c>
      <c r="B11" s="377" t="str">
        <f>'t1'!B11</f>
        <v>0D0098</v>
      </c>
      <c r="C11" s="1118">
        <f>'t1'!L11+'t1'!M11</f>
        <v>0</v>
      </c>
      <c r="D11" s="1118">
        <f>('t1'!L11+'t1'!M11)-SUM('t3'!C11:F11,'t3'!I11:L11)+SUM('t3'!M11:P11)</f>
        <v>0</v>
      </c>
      <c r="E11" s="1119">
        <f>'t12'!C11/12</f>
        <v>0</v>
      </c>
      <c r="F11" s="1119" t="str">
        <f>IF($D11&gt;0,(('t11'!C13+'t11'!D13)/$D11)," ")</f>
        <v> </v>
      </c>
      <c r="G11" s="1119" t="str">
        <f>IF($D11&gt;0,(SUM('t11'!E13:T13)/$D11)," ")</f>
        <v> </v>
      </c>
      <c r="H11" s="1119" t="str">
        <f>IF($D11&gt;0,(SUM('t11'!U13:X13)/$D11)," ")</f>
        <v> </v>
      </c>
      <c r="I11" s="1120" t="str">
        <f>IF($E11=0," ",('t12'!D11+'t12'!E11+'t12'!H11)/$E11)</f>
        <v> </v>
      </c>
      <c r="J11" s="1120" t="str">
        <f>IF($E11=0," ",'t12'!F11/$E11)</f>
        <v> </v>
      </c>
      <c r="K11" s="1120" t="str">
        <f>IF($E11=0," ",'t12'!G11/$E11)</f>
        <v> </v>
      </c>
      <c r="L11" s="1121">
        <f t="shared" si="0"/>
        <v>0</v>
      </c>
      <c r="M11" s="1122" t="str">
        <f>IF($E11=0," ",'t12'!I11/$E11)</f>
        <v> </v>
      </c>
      <c r="N11" s="1122" t="str">
        <f>IF($E11=0," ",'t12'!J11/$E11)</f>
        <v> </v>
      </c>
      <c r="O11" s="1120" t="str">
        <f>IF($E11=0," ",'t13'!O11/$E11)</f>
        <v> </v>
      </c>
      <c r="P11" s="1120" t="str">
        <f>IF($E11=0," ",SUM('t13'!C11:H11)/$E11)</f>
        <v> </v>
      </c>
      <c r="Q11" s="1120" t="str">
        <f>IF($E11=0," ",(SUM('t13'!I11:L11)+'t13'!N11)/$E11)</f>
        <v> </v>
      </c>
      <c r="R11" s="1121">
        <f t="shared" si="1"/>
        <v>0</v>
      </c>
      <c r="S11" s="1122" t="str">
        <f>IF($E11=0," ",'t13'!M11/$E11)</f>
        <v> </v>
      </c>
    </row>
    <row r="12" spans="1:19" ht="11.25">
      <c r="A12" s="147" t="str">
        <f>'t1'!A12</f>
        <v>ALTE SPECIALIZZ. FUORI D.O.</v>
      </c>
      <c r="B12" s="377" t="str">
        <f>'t1'!B12</f>
        <v>0D0095</v>
      </c>
      <c r="C12" s="1118">
        <f>'t1'!L12+'t1'!M12</f>
        <v>0</v>
      </c>
      <c r="D12" s="1118">
        <f>('t1'!L12+'t1'!M12)-SUM('t3'!C12:F12,'t3'!I12:L12)+SUM('t3'!M12:P12)</f>
        <v>0</v>
      </c>
      <c r="E12" s="1119">
        <f>'t12'!C12/12</f>
        <v>0</v>
      </c>
      <c r="F12" s="1119" t="str">
        <f>IF($D12&gt;0,(('t11'!C14+'t11'!D14)/$D12)," ")</f>
        <v> </v>
      </c>
      <c r="G12" s="1119" t="str">
        <f>IF($D12&gt;0,(SUM('t11'!E14:T14)/$D12)," ")</f>
        <v> </v>
      </c>
      <c r="H12" s="1119" t="str">
        <f>IF($D12&gt;0,(SUM('t11'!U14:X14)/$D12)," ")</f>
        <v> </v>
      </c>
      <c r="I12" s="1120" t="str">
        <f>IF($E12=0," ",('t12'!D12+'t12'!E12+'t12'!H12)/$E12)</f>
        <v> </v>
      </c>
      <c r="J12" s="1120" t="str">
        <f>IF($E12=0," ",'t12'!F12/$E12)</f>
        <v> </v>
      </c>
      <c r="K12" s="1120" t="str">
        <f>IF($E12=0," ",'t12'!G12/$E12)</f>
        <v> </v>
      </c>
      <c r="L12" s="1121">
        <f t="shared" si="0"/>
        <v>0</v>
      </c>
      <c r="M12" s="1122" t="str">
        <f>IF($E12=0," ",'t12'!I12/$E12)</f>
        <v> </v>
      </c>
      <c r="N12" s="1122" t="str">
        <f>IF($E12=0," ",'t12'!J12/$E12)</f>
        <v> </v>
      </c>
      <c r="O12" s="1120" t="str">
        <f>IF($E12=0," ",'t13'!O12/$E12)</f>
        <v> </v>
      </c>
      <c r="P12" s="1120" t="str">
        <f>IF($E12=0," ",SUM('t13'!C12:H12)/$E12)</f>
        <v> </v>
      </c>
      <c r="Q12" s="1120" t="str">
        <f>IF($E12=0," ",(SUM('t13'!I12:L12)+'t13'!N12)/$E12)</f>
        <v> </v>
      </c>
      <c r="R12" s="1121">
        <f t="shared" si="1"/>
        <v>0</v>
      </c>
      <c r="S12" s="1122" t="str">
        <f>IF($E12=0," ",'t13'!M12/$E12)</f>
        <v> </v>
      </c>
    </row>
    <row r="13" spans="1:19" ht="11.25">
      <c r="A13" s="147" t="str">
        <f>'t1'!A13</f>
        <v>QUALIFICA DIRIGENZIALE TEMPO INDET.</v>
      </c>
      <c r="B13" s="377" t="str">
        <f>'t1'!B13</f>
        <v>0D0100</v>
      </c>
      <c r="C13" s="1118">
        <f>'t1'!L13+'t1'!M13</f>
        <v>1</v>
      </c>
      <c r="D13" s="1118">
        <f>('t1'!L13+'t1'!M13)-SUM('t3'!C13:F13,'t3'!I13:L13)+SUM('t3'!M13:P13)</f>
        <v>1</v>
      </c>
      <c r="E13" s="1119">
        <f>'t12'!C13/12</f>
        <v>1</v>
      </c>
      <c r="F13" s="1119">
        <f>IF($D13&gt;0,(('t11'!C15+'t11'!D15)/$D13)," ")</f>
        <v>28</v>
      </c>
      <c r="G13" s="1119">
        <f>IF($D13&gt;0,(SUM('t11'!E15:T15)/$D13)," ")</f>
        <v>0</v>
      </c>
      <c r="H13" s="1119">
        <f>IF($D13&gt;0,(SUM('t11'!U15:X15)/$D13)," ")</f>
        <v>0</v>
      </c>
      <c r="I13" s="1120">
        <f>IF($E13=0," ",('t12'!D13+'t12'!E13+'t12'!H13)/$E13)</f>
        <v>37846</v>
      </c>
      <c r="J13" s="1120">
        <f>IF($E13=0," ",'t12'!F13/$E13)</f>
        <v>487</v>
      </c>
      <c r="K13" s="1120">
        <f>IF($E13=0," ",'t12'!G13/$E13)</f>
        <v>6606</v>
      </c>
      <c r="L13" s="1121">
        <f t="shared" si="0"/>
        <v>44939</v>
      </c>
      <c r="M13" s="1122">
        <f>IF($E13=0," ",'t12'!I13/$E13)</f>
        <v>0</v>
      </c>
      <c r="N13" s="1122">
        <f>IF($E13=0," ",'t12'!J13/$E13)</f>
        <v>0</v>
      </c>
      <c r="O13" s="1120">
        <f>IF($E13=0," ",'t13'!O13/$E13)</f>
        <v>0</v>
      </c>
      <c r="P13" s="1120">
        <f>IF($E13=0," ",SUM('t13'!C13:H13)/$E13)</f>
        <v>54147</v>
      </c>
      <c r="Q13" s="1120">
        <f>IF($E13=0," ",(SUM('t13'!I13:L13)+'t13'!N13)/$E13)</f>
        <v>1388</v>
      </c>
      <c r="R13" s="1121">
        <f t="shared" si="1"/>
        <v>55535</v>
      </c>
      <c r="S13" s="1122">
        <f>IF($E13=0," ",'t13'!M13/$E13)</f>
        <v>231</v>
      </c>
    </row>
    <row r="14" spans="1:19" ht="11.25">
      <c r="A14" s="147" t="str">
        <f>'t1'!A14</f>
        <v>QUALIFICA DIRIGENZIALE TEMPO DETER.</v>
      </c>
      <c r="B14" s="377" t="str">
        <f>'t1'!B14</f>
        <v>0D0099</v>
      </c>
      <c r="C14" s="1118">
        <f>'t1'!L14+'t1'!M14</f>
        <v>10</v>
      </c>
      <c r="D14" s="1118">
        <f>('t1'!L14+'t1'!M14)-SUM('t3'!C14:F14,'t3'!I14:L14)+SUM('t3'!M14:P14)</f>
        <v>10</v>
      </c>
      <c r="E14" s="1119">
        <f>'t12'!C14/12</f>
        <v>2.0591666666666666</v>
      </c>
      <c r="F14" s="1119">
        <f>IF($D14&gt;0,(('t11'!C16+'t11'!D16)/$D14)," ")</f>
        <v>12.4</v>
      </c>
      <c r="G14" s="1119">
        <f>IF($D14&gt;0,(SUM('t11'!E16:T16)/$D14)," ")</f>
        <v>0</v>
      </c>
      <c r="H14" s="1119">
        <f>IF($D14&gt;0,(SUM('t11'!U16:X16)/$D14)," ")</f>
        <v>0</v>
      </c>
      <c r="I14" s="1120">
        <f>IF($E14=0," ",('t12'!D14+'t12'!E14+'t12'!H14)/$E14)</f>
        <v>37016.43059490085</v>
      </c>
      <c r="J14" s="1120">
        <f>IF($E14=0," ",'t12'!F14/$E14)</f>
        <v>0</v>
      </c>
      <c r="K14" s="1120">
        <f>IF($E14=0," ",'t12'!G14/$E14)</f>
        <v>6805.18008903278</v>
      </c>
      <c r="L14" s="1121">
        <f t="shared" si="0"/>
        <v>43821.61068393363</v>
      </c>
      <c r="M14" s="1122">
        <f>IF($E14=0," ",'t12'!I14/$E14)</f>
        <v>0</v>
      </c>
      <c r="N14" s="1122">
        <f>IF($E14=0," ",'t12'!J14/$E14)</f>
        <v>0</v>
      </c>
      <c r="O14" s="1120">
        <f>IF($E14=0," ",'t13'!O14/$E14)</f>
        <v>0</v>
      </c>
      <c r="P14" s="1120">
        <f>IF($E14=0," ",SUM('t13'!C14:H14)/$E14)</f>
        <v>42585.1881829219</v>
      </c>
      <c r="Q14" s="1120">
        <f>IF($E14=0," ",(SUM('t13'!I14:L14)+'t13'!N14)/$E14)</f>
        <v>923.1889923108054</v>
      </c>
      <c r="R14" s="1121">
        <f t="shared" si="1"/>
        <v>43508.3771752327</v>
      </c>
      <c r="S14" s="1122">
        <f>IF($E14=0," ",'t13'!M14/$E14)</f>
        <v>0</v>
      </c>
    </row>
    <row r="15" spans="1:19" ht="11.25">
      <c r="A15" s="147" t="str">
        <f>'t1'!A15</f>
        <v>POSIZ. ECON. D6 - PROFILI ACCESSO D3</v>
      </c>
      <c r="B15" s="377" t="str">
        <f>'t1'!B15</f>
        <v>0D6A00</v>
      </c>
      <c r="C15" s="1118">
        <f>'t1'!L15+'t1'!M15</f>
        <v>8</v>
      </c>
      <c r="D15" s="1118">
        <f>('t1'!L15+'t1'!M15)-SUM('t3'!C15:F15,'t3'!I15:L15)+SUM('t3'!M15:P15)</f>
        <v>8</v>
      </c>
      <c r="E15" s="1119">
        <f>'t12'!C15/12</f>
        <v>9</v>
      </c>
      <c r="F15" s="1119">
        <f>IF($D15&gt;0,(('t11'!C17+'t11'!D17)/$D15)," ")</f>
        <v>32.25</v>
      </c>
      <c r="G15" s="1119">
        <f>IF($D15&gt;0,(SUM('t11'!E17:T17)/$D15)," ")</f>
        <v>6.5</v>
      </c>
      <c r="H15" s="1119">
        <f>IF($D15&gt;0,(SUM('t11'!U17:X17)/$D15)," ")</f>
        <v>0</v>
      </c>
      <c r="I15" s="1120">
        <f>IF($E15=0," ",('t12'!D15+'t12'!E15+'t12'!H15)/$E15)</f>
        <v>28623.555555555555</v>
      </c>
      <c r="J15" s="1120">
        <f>IF($E15=0," ",'t12'!F15/$E15)</f>
        <v>141.77777777777777</v>
      </c>
      <c r="K15" s="1120">
        <f>IF($E15=0," ",'t12'!G15/$E15)</f>
        <v>2835.6666666666665</v>
      </c>
      <c r="L15" s="1121">
        <f t="shared" si="0"/>
        <v>31601</v>
      </c>
      <c r="M15" s="1122">
        <f>IF($E15=0," ",'t12'!I15/$E15)</f>
        <v>172.66666666666666</v>
      </c>
      <c r="N15" s="1122">
        <f>IF($E15=0," ",'t12'!J15/$E15)</f>
        <v>474.44444444444446</v>
      </c>
      <c r="O15" s="1120">
        <f>IF($E15=0," ",'t13'!O15/$E15)</f>
        <v>0</v>
      </c>
      <c r="P15" s="1120">
        <f>IF($E15=0," ",SUM('t13'!C15:H15)/$E15)</f>
        <v>2080.5555555555557</v>
      </c>
      <c r="Q15" s="1120">
        <f>IF($E15=0," ",(SUM('t13'!I15:L15)+'t13'!N15)/$E15)</f>
        <v>9487.222222222223</v>
      </c>
      <c r="R15" s="1121">
        <f t="shared" si="1"/>
        <v>11567.777777777777</v>
      </c>
      <c r="S15" s="1122">
        <f>IF($E15=0," ",'t13'!M15/$E15)</f>
        <v>160.44444444444446</v>
      </c>
    </row>
    <row r="16" spans="1:19" ht="11.25">
      <c r="A16" s="147" t="str">
        <f>'t1'!A16</f>
        <v>POSIZ. ECON. D6 - PROFILO ACCESSO D1</v>
      </c>
      <c r="B16" s="377" t="str">
        <f>'t1'!B16</f>
        <v>0D6000</v>
      </c>
      <c r="C16" s="1118">
        <f>'t1'!L16+'t1'!M16</f>
        <v>0</v>
      </c>
      <c r="D16" s="1118">
        <f>('t1'!L16+'t1'!M16)-SUM('t3'!C16:F16,'t3'!I16:L16)+SUM('t3'!M16:P16)</f>
        <v>0</v>
      </c>
      <c r="E16" s="1119">
        <f>'t12'!C16/12</f>
        <v>0</v>
      </c>
      <c r="F16" s="1119" t="str">
        <f>IF($D16&gt;0,(('t11'!C18+'t11'!D18)/$D16)," ")</f>
        <v> </v>
      </c>
      <c r="G16" s="1119" t="str">
        <f>IF($D16&gt;0,(SUM('t11'!E18:T18)/$D16)," ")</f>
        <v> </v>
      </c>
      <c r="H16" s="1119" t="str">
        <f>IF($D16&gt;0,(SUM('t11'!U18:X18)/$D16)," ")</f>
        <v> </v>
      </c>
      <c r="I16" s="1120" t="str">
        <f>IF($E16=0," ",('t12'!D16+'t12'!E16+'t12'!H16)/$E16)</f>
        <v> </v>
      </c>
      <c r="J16" s="1120" t="str">
        <f>IF($E16=0," ",'t12'!F16/$E16)</f>
        <v> </v>
      </c>
      <c r="K16" s="1120" t="str">
        <f>IF($E16=0," ",'t12'!G16/$E16)</f>
        <v> </v>
      </c>
      <c r="L16" s="1121">
        <f t="shared" si="0"/>
        <v>0</v>
      </c>
      <c r="M16" s="1122" t="str">
        <f>IF($E16=0," ",'t12'!I16/$E16)</f>
        <v> </v>
      </c>
      <c r="N16" s="1122" t="str">
        <f>IF($E16=0," ",'t12'!J16/$E16)</f>
        <v> </v>
      </c>
      <c r="O16" s="1120" t="str">
        <f>IF($E16=0," ",'t13'!O16/$E16)</f>
        <v> </v>
      </c>
      <c r="P16" s="1120" t="str">
        <f>IF($E16=0," ",SUM('t13'!C16:H16)/$E16)</f>
        <v> </v>
      </c>
      <c r="Q16" s="1120" t="str">
        <f>IF($E16=0," ",(SUM('t13'!I16:L16)+'t13'!N16)/$E16)</f>
        <v> </v>
      </c>
      <c r="R16" s="1121">
        <f t="shared" si="1"/>
        <v>0</v>
      </c>
      <c r="S16" s="1122" t="str">
        <f>IF($E16=0," ",'t13'!M16/$E16)</f>
        <v> </v>
      </c>
    </row>
    <row r="17" spans="1:24" s="116" customFormat="1" ht="11.25">
      <c r="A17" s="147" t="str">
        <f>'t1'!A17</f>
        <v>POSIZ.ECON. D5 PROFILI ACCESSO D3</v>
      </c>
      <c r="B17" s="377" t="str">
        <f>'t1'!B17</f>
        <v>052486</v>
      </c>
      <c r="C17" s="1118">
        <f>'t1'!L17+'t1'!M17</f>
        <v>8</v>
      </c>
      <c r="D17" s="1118">
        <f>('t1'!L17+'t1'!M17)-SUM('t3'!C17:F17,'t3'!I17:L17)+SUM('t3'!M17:P17)</f>
        <v>8</v>
      </c>
      <c r="E17" s="1119">
        <f>'t12'!C17/12</f>
        <v>13</v>
      </c>
      <c r="F17" s="1119">
        <f>IF($D17&gt;0,(('t11'!C19+'t11'!D19)/$D17)," ")</f>
        <v>49</v>
      </c>
      <c r="G17" s="1119">
        <f>IF($D17&gt;0,(SUM('t11'!E19:T19)/$D17)," ")</f>
        <v>15.875</v>
      </c>
      <c r="H17" s="1119">
        <f>IF($D17&gt;0,(SUM('t11'!U19:X19)/$D17)," ")</f>
        <v>0</v>
      </c>
      <c r="I17" s="1120">
        <f>IF($E17=0," ",('t12'!D17+'t12'!E17+'t12'!H17)/$E17)</f>
        <v>26952.76923076923</v>
      </c>
      <c r="J17" s="1120">
        <f>IF($E17=0," ",'t12'!F17/$E17)</f>
        <v>153.23076923076923</v>
      </c>
      <c r="K17" s="1120">
        <f>IF($E17=0," ",'t12'!G17/$E17)</f>
        <v>2982.153846153846</v>
      </c>
      <c r="L17" s="1121">
        <f t="shared" si="0"/>
        <v>30088.153846153848</v>
      </c>
      <c r="M17" s="1122">
        <f>IF($E17=0," ",'t12'!I17/$E17)</f>
        <v>165.92307692307693</v>
      </c>
      <c r="N17" s="1122">
        <f>IF($E17=0," ",'t12'!J17/$E17)</f>
        <v>1509.5384615384614</v>
      </c>
      <c r="O17" s="1120">
        <f>IF($E17=0," ",'t13'!O17/$E17)</f>
        <v>0</v>
      </c>
      <c r="P17" s="1120">
        <f>IF($E17=0," ",SUM('t13'!C17:H17)/$E17)</f>
        <v>5324.615384615385</v>
      </c>
      <c r="Q17" s="1120">
        <f>IF($E17=0," ",(SUM('t13'!I17:L17)+'t13'!N17)/$E17)</f>
        <v>13318.846153846154</v>
      </c>
      <c r="R17" s="1121">
        <f t="shared" si="1"/>
        <v>18643.46153846154</v>
      </c>
      <c r="S17" s="1122">
        <f>IF($E17=0," ",'t13'!M17/$E17)</f>
        <v>197.6153846153846</v>
      </c>
      <c r="U17"/>
      <c r="V17"/>
      <c r="W17"/>
      <c r="X17"/>
    </row>
    <row r="18" spans="1:24" s="116" customFormat="1" ht="11.25">
      <c r="A18" s="147" t="str">
        <f>'t1'!A18</f>
        <v>POSIZ.ECON. D5 PROFILI ACCESSO D1</v>
      </c>
      <c r="B18" s="377" t="str">
        <f>'t1'!B18</f>
        <v>052487</v>
      </c>
      <c r="C18" s="1118">
        <f>'t1'!L18+'t1'!M18</f>
        <v>1</v>
      </c>
      <c r="D18" s="1118">
        <f>('t1'!L18+'t1'!M18)-SUM('t3'!C18:F18,'t3'!I18:L18)+SUM('t3'!M18:P18)</f>
        <v>1</v>
      </c>
      <c r="E18" s="1119">
        <f>'t12'!C18/12</f>
        <v>1</v>
      </c>
      <c r="F18" s="1119">
        <f>IF($D18&gt;0,(('t11'!C20+'t11'!D20)/$D18)," ")</f>
        <v>37</v>
      </c>
      <c r="G18" s="1119">
        <f>IF($D18&gt;0,(SUM('t11'!E20:T20)/$D18)," ")</f>
        <v>74</v>
      </c>
      <c r="H18" s="1119">
        <f>IF($D18&gt;0,(SUM('t11'!U20:X20)/$D18)," ")</f>
        <v>0</v>
      </c>
      <c r="I18" s="1120">
        <f>IF($E18=0," ",('t12'!D18+'t12'!E18+'t12'!H18)/$E18)</f>
        <v>27106</v>
      </c>
      <c r="J18" s="1120">
        <f>IF($E18=0," ",'t12'!F18/$E18)</f>
        <v>715</v>
      </c>
      <c r="K18" s="1120">
        <f>IF($E18=0," ",'t12'!G18/$E18)</f>
        <v>2318</v>
      </c>
      <c r="L18" s="1121">
        <f t="shared" si="0"/>
        <v>30139</v>
      </c>
      <c r="M18" s="1122">
        <f>IF($E18=0," ",'t12'!I18/$E18)</f>
        <v>160</v>
      </c>
      <c r="N18" s="1122">
        <f>IF($E18=0," ",'t12'!J18/$E18)</f>
        <v>0</v>
      </c>
      <c r="O18" s="1120">
        <f>IF($E18=0," ",'t13'!O18/$E18)</f>
        <v>0</v>
      </c>
      <c r="P18" s="1120">
        <f>IF($E18=0," ",SUM('t13'!C18:H18)/$E18)</f>
        <v>623</v>
      </c>
      <c r="Q18" s="1120">
        <f>IF($E18=0," ",(SUM('t13'!I18:L18)+'t13'!N18)/$E18)</f>
        <v>2023</v>
      </c>
      <c r="R18" s="1121">
        <f t="shared" si="1"/>
        <v>2646</v>
      </c>
      <c r="S18" s="1122">
        <f>IF($E18=0," ",'t13'!M18/$E18)</f>
        <v>268</v>
      </c>
      <c r="U18"/>
      <c r="V18"/>
      <c r="W18"/>
      <c r="X18"/>
    </row>
    <row r="19" spans="1:24" s="116" customFormat="1" ht="11.25">
      <c r="A19" s="147" t="str">
        <f>'t1'!A19</f>
        <v>POSIZ.ECON. D4 PROFILI ACCESSO D3</v>
      </c>
      <c r="B19" s="377" t="str">
        <f>'t1'!B19</f>
        <v>051488</v>
      </c>
      <c r="C19" s="1118">
        <f>'t1'!L19+'t1'!M19</f>
        <v>14</v>
      </c>
      <c r="D19" s="1118">
        <f>('t1'!L19+'t1'!M19)-SUM('t3'!C19:F19,'t3'!I19:L19)+SUM('t3'!M19:P19)</f>
        <v>14</v>
      </c>
      <c r="E19" s="1119">
        <f>'t12'!C19/12</f>
        <v>16.666666666666668</v>
      </c>
      <c r="F19" s="1119">
        <f>IF($D19&gt;0,(('t11'!C21+'t11'!D21)/$D19)," ")</f>
        <v>19.5</v>
      </c>
      <c r="G19" s="1119">
        <f>IF($D19&gt;0,(SUM('t11'!E21:T21)/$D19)," ")</f>
        <v>24.571428571428573</v>
      </c>
      <c r="H19" s="1119">
        <f>IF($D19&gt;0,(SUM('t11'!U21:X21)/$D19)," ")</f>
        <v>0</v>
      </c>
      <c r="I19" s="1120">
        <f>IF($E19=0," ",('t12'!D19+'t12'!E19+'t12'!H19)/$E19)</f>
        <v>25505.82</v>
      </c>
      <c r="J19" s="1120">
        <f>IF($E19=0," ",'t12'!F19/$E19)</f>
        <v>90.05999999999999</v>
      </c>
      <c r="K19" s="1120">
        <f>IF($E19=0," ",'t12'!G19/$E19)</f>
        <v>2709.24</v>
      </c>
      <c r="L19" s="1121">
        <f t="shared" si="0"/>
        <v>28305.120000000003</v>
      </c>
      <c r="M19" s="1122">
        <f>IF($E19=0," ",'t12'!I19/$E19)</f>
        <v>148.07999999999998</v>
      </c>
      <c r="N19" s="1122">
        <f>IF($E19=0," ",'t12'!J19/$E19)</f>
        <v>502.26</v>
      </c>
      <c r="O19" s="1120">
        <f>IF($E19=0," ",'t13'!O19/$E19)</f>
        <v>0</v>
      </c>
      <c r="P19" s="1120">
        <f>IF($E19=0," ",SUM('t13'!C19:H19)/$E19)</f>
        <v>2379.48</v>
      </c>
      <c r="Q19" s="1120">
        <f>IF($E19=0," ",(SUM('t13'!I19:L19)+'t13'!N19)/$E19)</f>
        <v>8940.06</v>
      </c>
      <c r="R19" s="1121">
        <f t="shared" si="1"/>
        <v>11319.539999999999</v>
      </c>
      <c r="S19" s="1122">
        <f>IF($E19=0," ",'t13'!M19/$E19)</f>
        <v>365.76</v>
      </c>
      <c r="U19"/>
      <c r="V19"/>
      <c r="W19"/>
      <c r="X19"/>
    </row>
    <row r="20" spans="1:24" s="116" customFormat="1" ht="11.25">
      <c r="A20" s="147" t="str">
        <f>'t1'!A20</f>
        <v>POSIZ.ECON. D4 PROFILI ACCESSO D1</v>
      </c>
      <c r="B20" s="377" t="str">
        <f>'t1'!B20</f>
        <v>051489</v>
      </c>
      <c r="C20" s="1118">
        <f>'t1'!L20+'t1'!M20</f>
        <v>3</v>
      </c>
      <c r="D20" s="1118">
        <f>('t1'!L20+'t1'!M20)-SUM('t3'!C20:F20,'t3'!I20:L20)+SUM('t3'!M20:P20)</f>
        <v>3</v>
      </c>
      <c r="E20" s="1119">
        <f>'t12'!C20/12</f>
        <v>3</v>
      </c>
      <c r="F20" s="1119">
        <f>IF($D20&gt;0,(('t11'!C22+'t11'!D22)/$D20)," ")</f>
        <v>34</v>
      </c>
      <c r="G20" s="1119">
        <f>IF($D20&gt;0,(SUM('t11'!E22:T22)/$D20)," ")</f>
        <v>30.666666666666668</v>
      </c>
      <c r="H20" s="1119">
        <f>IF($D20&gt;0,(SUM('t11'!U22:X22)/$D20)," ")</f>
        <v>0</v>
      </c>
      <c r="I20" s="1120">
        <f>IF($E20=0," ",('t12'!D20+'t12'!E20+'t12'!H20)/$E20)</f>
        <v>25546.333333333332</v>
      </c>
      <c r="J20" s="1120">
        <f>IF($E20=0," ",'t12'!F20/$E20)</f>
        <v>28.666666666666668</v>
      </c>
      <c r="K20" s="1120">
        <f>IF($E20=0," ",'t12'!G20/$E20)</f>
        <v>2131.3333333333335</v>
      </c>
      <c r="L20" s="1121">
        <f t="shared" si="0"/>
        <v>27706.333333333332</v>
      </c>
      <c r="M20" s="1122">
        <f>IF($E20=0," ",'t12'!I20/$E20)</f>
        <v>153</v>
      </c>
      <c r="N20" s="1122">
        <f>IF($E20=0," ",'t12'!J20/$E20)</f>
        <v>0</v>
      </c>
      <c r="O20" s="1120">
        <f>IF($E20=0," ",'t13'!O20/$E20)</f>
        <v>0</v>
      </c>
      <c r="P20" s="1120">
        <f>IF($E20=0," ",SUM('t13'!C20:H20)/$E20)</f>
        <v>622.6666666666666</v>
      </c>
      <c r="Q20" s="1120">
        <f>IF($E20=0," ",(SUM('t13'!I20:L20)+'t13'!N20)/$E20)</f>
        <v>2397.6666666666665</v>
      </c>
      <c r="R20" s="1121">
        <f t="shared" si="1"/>
        <v>3020.333333333333</v>
      </c>
      <c r="S20" s="1122">
        <f>IF($E20=0," ",'t13'!M20/$E20)</f>
        <v>1108.6666666666667</v>
      </c>
      <c r="U20"/>
      <c r="V20"/>
      <c r="W20"/>
      <c r="X20"/>
    </row>
    <row r="21" spans="1:24" s="116" customFormat="1" ht="11.25">
      <c r="A21" s="147" t="str">
        <f>'t1'!A21</f>
        <v>POSIZIONE ECONOMICA DI ACCESSO D3</v>
      </c>
      <c r="B21" s="377" t="str">
        <f>'t1'!B21</f>
        <v>058000</v>
      </c>
      <c r="C21" s="1118">
        <f>'t1'!L21+'t1'!M21</f>
        <v>2</v>
      </c>
      <c r="D21" s="1118">
        <f>('t1'!L21+'t1'!M21)-SUM('t3'!C21:F21,'t3'!I21:L21)+SUM('t3'!M21:P21)</f>
        <v>2</v>
      </c>
      <c r="E21" s="1119">
        <f>'t12'!C21/12</f>
        <v>3</v>
      </c>
      <c r="F21" s="1119">
        <f>IF($D21&gt;0,(('t11'!C23+'t11'!D23)/$D21)," ")</f>
        <v>46.5</v>
      </c>
      <c r="G21" s="1119">
        <f>IF($D21&gt;0,(SUM('t11'!E23:T23)/$D21)," ")</f>
        <v>27.5</v>
      </c>
      <c r="H21" s="1119">
        <f>IF($D21&gt;0,(SUM('t11'!U23:X23)/$D21)," ")</f>
        <v>0</v>
      </c>
      <c r="I21" s="1120">
        <f>IF($E21=0," ",('t12'!D21+'t12'!E21+'t12'!H21)/$E21)</f>
        <v>24449</v>
      </c>
      <c r="J21" s="1120">
        <f>IF($E21=0," ",'t12'!F21/$E21)</f>
        <v>22</v>
      </c>
      <c r="K21" s="1120">
        <f>IF($E21=0," ",'t12'!G21/$E21)</f>
        <v>2320</v>
      </c>
      <c r="L21" s="1121">
        <f t="shared" si="0"/>
        <v>26791</v>
      </c>
      <c r="M21" s="1122">
        <f>IF($E21=0," ",'t12'!I21/$E21)</f>
        <v>150.33333333333334</v>
      </c>
      <c r="N21" s="1122">
        <f>IF($E21=0," ",'t12'!J21/$E21)</f>
        <v>1207</v>
      </c>
      <c r="O21" s="1120">
        <f>IF($E21=0," ",'t13'!O21/$E21)</f>
        <v>0</v>
      </c>
      <c r="P21" s="1120">
        <f>IF($E21=0," ",SUM('t13'!C21:H21)/$E21)</f>
        <v>1095</v>
      </c>
      <c r="Q21" s="1120">
        <f>IF($E21=0," ",(SUM('t13'!I21:L21)+'t13'!N21)/$E21)</f>
        <v>5482.333333333333</v>
      </c>
      <c r="R21" s="1121">
        <f t="shared" si="1"/>
        <v>6577.333333333333</v>
      </c>
      <c r="S21" s="1122">
        <f>IF($E21=0," ",'t13'!M21/$E21)</f>
        <v>296</v>
      </c>
      <c r="U21"/>
      <c r="V21"/>
      <c r="W21"/>
      <c r="X21"/>
    </row>
    <row r="22" spans="1:24" s="116" customFormat="1" ht="11.25">
      <c r="A22" s="147" t="str">
        <f>'t1'!A22</f>
        <v>POSIZIONE ECONOMICA D3</v>
      </c>
      <c r="B22" s="377" t="str">
        <f>'t1'!B22</f>
        <v>050000</v>
      </c>
      <c r="C22" s="1118">
        <f>'t1'!L22+'t1'!M22</f>
        <v>12</v>
      </c>
      <c r="D22" s="1118">
        <f>('t1'!L22+'t1'!M22)-SUM('t3'!C22:F22,'t3'!I22:L22)+SUM('t3'!M22:P22)</f>
        <v>12</v>
      </c>
      <c r="E22" s="1119">
        <f>'t12'!C22/12</f>
        <v>12</v>
      </c>
      <c r="F22" s="1119">
        <f>IF($D22&gt;0,(('t11'!C24+'t11'!D24)/$D22)," ")</f>
        <v>33.666666666666664</v>
      </c>
      <c r="G22" s="1119">
        <f>IF($D22&gt;0,(SUM('t11'!E24:T24)/$D22)," ")</f>
        <v>11.5</v>
      </c>
      <c r="H22" s="1119">
        <f>IF($D22&gt;0,(SUM('t11'!U24:X24)/$D22)," ")</f>
        <v>0</v>
      </c>
      <c r="I22" s="1120">
        <f>IF($E22=0," ",('t12'!D22+'t12'!E22+'t12'!H22)/$E22)</f>
        <v>24649.583333333332</v>
      </c>
      <c r="J22" s="1120">
        <f>IF($E22=0," ",'t12'!F22/$E22)</f>
        <v>83.83333333333333</v>
      </c>
      <c r="K22" s="1120">
        <f>IF($E22=0," ",'t12'!G22/$E22)</f>
        <v>2309.8333333333335</v>
      </c>
      <c r="L22" s="1121">
        <f t="shared" si="0"/>
        <v>27043.249999999996</v>
      </c>
      <c r="M22" s="1122">
        <f>IF($E22=0," ",'t12'!I22/$E22)</f>
        <v>146.41666666666666</v>
      </c>
      <c r="N22" s="1122">
        <f>IF($E22=0," ",'t12'!J22/$E22)</f>
        <v>0</v>
      </c>
      <c r="O22" s="1120">
        <f>IF($E22=0," ",'t13'!O22/$E22)</f>
        <v>0</v>
      </c>
      <c r="P22" s="1120">
        <f>IF($E22=0," ",SUM('t13'!C22:H22)/$E22)</f>
        <v>1589.4166666666667</v>
      </c>
      <c r="Q22" s="1120">
        <f>IF($E22=0," ",(SUM('t13'!I22:L22)+'t13'!N22)/$E22)</f>
        <v>6299.916666666667</v>
      </c>
      <c r="R22" s="1121">
        <f t="shared" si="1"/>
        <v>7889.333333333334</v>
      </c>
      <c r="S22" s="1122">
        <f>IF($E22=0," ",'t13'!M22/$E22)</f>
        <v>1054.75</v>
      </c>
      <c r="U22"/>
      <c r="V22"/>
      <c r="W22"/>
      <c r="X22"/>
    </row>
    <row r="23" spans="1:24" s="116" customFormat="1" ht="11.25">
      <c r="A23" s="147" t="str">
        <f>'t1'!A23</f>
        <v>POSIZIONE ECONOMICA D2</v>
      </c>
      <c r="B23" s="377" t="str">
        <f>'t1'!B23</f>
        <v>049000</v>
      </c>
      <c r="C23" s="1118">
        <f>'t1'!L23+'t1'!M23</f>
        <v>40</v>
      </c>
      <c r="D23" s="1118">
        <f>('t1'!L23+'t1'!M23)-SUM('t3'!C23:F23,'t3'!I23:L23)+SUM('t3'!M23:P23)</f>
        <v>40</v>
      </c>
      <c r="E23" s="1119">
        <f>'t12'!C23/12</f>
        <v>40</v>
      </c>
      <c r="F23" s="1119">
        <f>IF($D23&gt;0,(('t11'!C25+'t11'!D25)/$D23)," ")</f>
        <v>10.5</v>
      </c>
      <c r="G23" s="1119">
        <f>IF($D23&gt;0,(SUM('t11'!E25:T25)/$D23)," ")</f>
        <v>10.35</v>
      </c>
      <c r="H23" s="1119">
        <f>IF($D23&gt;0,(SUM('t11'!U25:X25)/$D23)," ")</f>
        <v>0</v>
      </c>
      <c r="I23" s="1120">
        <f>IF($E23=0," ",('t12'!D23+'t12'!E23+'t12'!H23)/$E23)</f>
        <v>22553.6</v>
      </c>
      <c r="J23" s="1120">
        <f>IF($E23=0," ",'t12'!F23/$E23)</f>
        <v>101.55</v>
      </c>
      <c r="K23" s="1120">
        <f>IF($E23=0," ",'t12'!G23/$E23)</f>
        <v>1987.9</v>
      </c>
      <c r="L23" s="1121">
        <f t="shared" si="0"/>
        <v>24643.05</v>
      </c>
      <c r="M23" s="1122">
        <f>IF($E23=0," ",'t12'!I23/$E23)</f>
        <v>133.625</v>
      </c>
      <c r="N23" s="1122">
        <f>IF($E23=0," ",'t12'!J23/$E23)</f>
        <v>1.7</v>
      </c>
      <c r="O23" s="1120">
        <f>IF($E23=0," ",'t13'!O23/$E23)</f>
        <v>0</v>
      </c>
      <c r="P23" s="1120">
        <f>IF($E23=0," ",SUM('t13'!C23:H23)/$E23)</f>
        <v>1278.9</v>
      </c>
      <c r="Q23" s="1120">
        <f>IF($E23=0," ",(SUM('t13'!I23:L23)+'t13'!N23)/$E23)</f>
        <v>5020.75</v>
      </c>
      <c r="R23" s="1121">
        <f t="shared" si="1"/>
        <v>6299.65</v>
      </c>
      <c r="S23" s="1122">
        <f>IF($E23=0," ",'t13'!M23/$E23)</f>
        <v>545.275</v>
      </c>
      <c r="U23"/>
      <c r="V23"/>
      <c r="W23"/>
      <c r="X23"/>
    </row>
    <row r="24" spans="1:24" s="116" customFormat="1" ht="11.25">
      <c r="A24" s="147" t="str">
        <f>'t1'!A24</f>
        <v>POSIZIONE ECONOMICA DI ACCESSO D1</v>
      </c>
      <c r="B24" s="377" t="str">
        <f>'t1'!B24</f>
        <v>057000</v>
      </c>
      <c r="C24" s="1118">
        <f>'t1'!L24+'t1'!M24</f>
        <v>3</v>
      </c>
      <c r="D24" s="1118">
        <f>('t1'!L24+'t1'!M24)-SUM('t3'!C24:F24,'t3'!I24:L24)+SUM('t3'!M24:P24)</f>
        <v>3</v>
      </c>
      <c r="E24" s="1119">
        <f>'t12'!C24/12</f>
        <v>3</v>
      </c>
      <c r="F24" s="1119">
        <f>IF($D24&gt;0,(('t11'!C26+'t11'!D26)/$D24)," ")</f>
        <v>36.333333333333336</v>
      </c>
      <c r="G24" s="1119">
        <f>IF($D24&gt;0,(SUM('t11'!E26:T26)/$D24)," ")</f>
        <v>11</v>
      </c>
      <c r="H24" s="1119">
        <f>IF($D24&gt;0,(SUM('t11'!U26:X26)/$D24)," ")</f>
        <v>0</v>
      </c>
      <c r="I24" s="1120">
        <f>IF($E24=0," ",('t12'!D24+'t12'!E24+'t12'!H24)/$E24)</f>
        <v>21337.333333333332</v>
      </c>
      <c r="J24" s="1120">
        <f>IF($E24=0," ",'t12'!F24/$E24)</f>
        <v>26.666666666666668</v>
      </c>
      <c r="K24" s="1120">
        <f>IF($E24=0," ",'t12'!G24/$E24)</f>
        <v>2111.3333333333335</v>
      </c>
      <c r="L24" s="1121">
        <f t="shared" si="0"/>
        <v>23475.333333333332</v>
      </c>
      <c r="M24" s="1122">
        <f>IF($E24=0," ",'t12'!I24/$E24)</f>
        <v>132</v>
      </c>
      <c r="N24" s="1122">
        <f>IF($E24=0," ",'t12'!J24/$E24)</f>
        <v>0</v>
      </c>
      <c r="O24" s="1120">
        <f>IF($E24=0," ",'t13'!O24/$E24)</f>
        <v>0</v>
      </c>
      <c r="P24" s="1120">
        <f>IF($E24=0," ",SUM('t13'!C24:H24)/$E24)</f>
        <v>1098</v>
      </c>
      <c r="Q24" s="1120">
        <f>IF($E24=0," ",(SUM('t13'!I24:L24)+'t13'!N24)/$E24)</f>
        <v>12035</v>
      </c>
      <c r="R24" s="1121">
        <f t="shared" si="1"/>
        <v>13133</v>
      </c>
      <c r="S24" s="1122">
        <f>IF($E24=0," ",'t13'!M24/$E24)</f>
        <v>362.3333333333333</v>
      </c>
      <c r="U24"/>
      <c r="V24"/>
      <c r="W24"/>
      <c r="X24"/>
    </row>
    <row r="25" spans="1:24" s="116" customFormat="1" ht="11.25">
      <c r="A25" s="147" t="str">
        <f>'t1'!A25</f>
        <v>POSIZIONE ECONOMICA C5</v>
      </c>
      <c r="B25" s="377" t="str">
        <f>'t1'!B25</f>
        <v>046000</v>
      </c>
      <c r="C25" s="1118">
        <f>'t1'!L25+'t1'!M25</f>
        <v>4</v>
      </c>
      <c r="D25" s="1118">
        <f>('t1'!L25+'t1'!M25)-SUM('t3'!C25:F25,'t3'!I25:L25)+SUM('t3'!M25:P25)</f>
        <v>4</v>
      </c>
      <c r="E25" s="1119">
        <f>'t12'!C25/12</f>
        <v>4.189166666666667</v>
      </c>
      <c r="F25" s="1119">
        <f>IF($D25&gt;0,(('t11'!C27+'t11'!D27)/$D25)," ")</f>
        <v>49</v>
      </c>
      <c r="G25" s="1119">
        <f>IF($D25&gt;0,(SUM('t11'!E27:T27)/$D25)," ")</f>
        <v>18</v>
      </c>
      <c r="H25" s="1119">
        <f>IF($D25&gt;0,(SUM('t11'!U27:X27)/$D25)," ")</f>
        <v>0</v>
      </c>
      <c r="I25" s="1120">
        <f>IF($E25=0," ",('t12'!D25+'t12'!E25+'t12'!H25)/$E25)</f>
        <v>21891.943505072606</v>
      </c>
      <c r="J25" s="1120">
        <f>IF($E25=0," ",'t12'!F25/$E25)</f>
        <v>623.2743186791326</v>
      </c>
      <c r="K25" s="1120">
        <f>IF($E25=0," ",'t12'!G25/$E25)</f>
        <v>1873.6423314103838</v>
      </c>
      <c r="L25" s="1121">
        <f t="shared" si="0"/>
        <v>24388.860155162125</v>
      </c>
      <c r="M25" s="1122">
        <f>IF($E25=0," ",'t12'!I25/$E25)</f>
        <v>157.31052317485577</v>
      </c>
      <c r="N25" s="1122">
        <f>IF($E25=0," ",'t12'!J25/$E25)</f>
        <v>836.2044957230952</v>
      </c>
      <c r="O25" s="1120">
        <f>IF($E25=0," ",'t13'!O25/$E25)</f>
        <v>0</v>
      </c>
      <c r="P25" s="1120">
        <f>IF($E25=0," ",SUM('t13'!C25:H25)/$E25)</f>
        <v>1079.9283867117565</v>
      </c>
      <c r="Q25" s="1120">
        <f>IF($E25=0," ",(SUM('t13'!I25:L25)+'t13'!N25)/$E25)</f>
        <v>4858.245474438035</v>
      </c>
      <c r="R25" s="1121">
        <f t="shared" si="1"/>
        <v>5938.173861149791</v>
      </c>
      <c r="S25" s="1122">
        <f>IF($E25=0," ",'t13'!M25/$E25)</f>
        <v>748.5975731052317</v>
      </c>
      <c r="U25"/>
      <c r="V25"/>
      <c r="W25"/>
      <c r="X25"/>
    </row>
    <row r="26" spans="1:24" s="116" customFormat="1" ht="11.25">
      <c r="A26" s="147" t="str">
        <f>'t1'!A26</f>
        <v>POSIZIONE ECONOMICA C4</v>
      </c>
      <c r="B26" s="377" t="str">
        <f>'t1'!B26</f>
        <v>045000</v>
      </c>
      <c r="C26" s="1118">
        <f>'t1'!L26+'t1'!M26</f>
        <v>20</v>
      </c>
      <c r="D26" s="1118">
        <f>('t1'!L26+'t1'!M26)-SUM('t3'!C26:F26,'t3'!I26:L26)+SUM('t3'!M26:P26)</f>
        <v>20</v>
      </c>
      <c r="E26" s="1119">
        <f>'t12'!C26/12</f>
        <v>20.083333333333332</v>
      </c>
      <c r="F26" s="1119">
        <f>IF($D26&gt;0,(('t11'!C28+'t11'!D28)/$D26)," ")</f>
        <v>32.25</v>
      </c>
      <c r="G26" s="1119">
        <f>IF($D26&gt;0,(SUM('t11'!E28:T28)/$D26)," ")</f>
        <v>19.2</v>
      </c>
      <c r="H26" s="1119">
        <f>IF($D26&gt;0,(SUM('t11'!U28:X28)/$D26)," ")</f>
        <v>0</v>
      </c>
      <c r="I26" s="1120">
        <f>IF($E26=0," ",('t12'!D26+'t12'!E26+'t12'!H26)/$E26)</f>
        <v>21167.7510373444</v>
      </c>
      <c r="J26" s="1120">
        <f>IF($E26=0," ",'t12'!F26/$E26)</f>
        <v>322.6556016597511</v>
      </c>
      <c r="K26" s="1120">
        <f>IF($E26=0," ",'t12'!G26/$E26)</f>
        <v>1967.2033195020747</v>
      </c>
      <c r="L26" s="1121">
        <f t="shared" si="0"/>
        <v>23457.609958506222</v>
      </c>
      <c r="M26" s="1122">
        <f>IF($E26=0," ",'t12'!I26/$E26)</f>
        <v>126.3734439834025</v>
      </c>
      <c r="N26" s="1122">
        <f>IF($E26=0," ",'t12'!J26/$E26)</f>
        <v>0</v>
      </c>
      <c r="O26" s="1120">
        <f>IF($E26=0," ",'t13'!O26/$E26)</f>
        <v>154.05809128630708</v>
      </c>
      <c r="P26" s="1120">
        <f>IF($E26=0," ",SUM('t13'!C26:H26)/$E26)</f>
        <v>1125.1618257261412</v>
      </c>
      <c r="Q26" s="1120">
        <f>IF($E26=0," ",(SUM('t13'!I26:L26)+'t13'!N26)/$E26)</f>
        <v>3083.701244813278</v>
      </c>
      <c r="R26" s="1121">
        <f t="shared" si="1"/>
        <v>4362.921161825727</v>
      </c>
      <c r="S26" s="1122">
        <f>IF($E26=0," ",'t13'!M26/$E26)</f>
        <v>775.1203319502075</v>
      </c>
      <c r="U26"/>
      <c r="V26"/>
      <c r="W26"/>
      <c r="X26"/>
    </row>
    <row r="27" spans="1:24" s="116" customFormat="1" ht="11.25">
      <c r="A27" s="147" t="str">
        <f>'t1'!A27</f>
        <v>POSIZIONE ECONOMICA C3</v>
      </c>
      <c r="B27" s="377" t="str">
        <f>'t1'!B27</f>
        <v>043000</v>
      </c>
      <c r="C27" s="1118">
        <f>'t1'!L27+'t1'!M27</f>
        <v>31</v>
      </c>
      <c r="D27" s="1118">
        <f>('t1'!L27+'t1'!M27)-SUM('t3'!C27:F27,'t3'!I27:L27)+SUM('t3'!M27:P27)</f>
        <v>31</v>
      </c>
      <c r="E27" s="1119">
        <f>'t12'!C27/12</f>
        <v>31</v>
      </c>
      <c r="F27" s="1119">
        <f>IF($D27&gt;0,(('t11'!C29+'t11'!D29)/$D27)," ")</f>
        <v>20.677419354838708</v>
      </c>
      <c r="G27" s="1119">
        <f>IF($D27&gt;0,(SUM('t11'!E29:T29)/$D27)," ")</f>
        <v>17.096774193548388</v>
      </c>
      <c r="H27" s="1119">
        <f>IF($D27&gt;0,(SUM('t11'!U29:X29)/$D27)," ")</f>
        <v>0</v>
      </c>
      <c r="I27" s="1120">
        <f>IF($E27=0," ",('t12'!D27+'t12'!E27+'t12'!H27)/$E27)</f>
        <v>20620.09677419355</v>
      </c>
      <c r="J27" s="1120">
        <f>IF($E27=0," ",'t12'!F27/$E27)</f>
        <v>89.35483870967742</v>
      </c>
      <c r="K27" s="1120">
        <f>IF($E27=0," ",'t12'!G27/$E27)</f>
        <v>1737.967741935484</v>
      </c>
      <c r="L27" s="1121">
        <f t="shared" si="0"/>
        <v>22447.419354838712</v>
      </c>
      <c r="M27" s="1122">
        <f>IF($E27=0," ",'t12'!I27/$E27)</f>
        <v>132.4516129032258</v>
      </c>
      <c r="N27" s="1122">
        <f>IF($E27=0," ",'t12'!J27/$E27)</f>
        <v>0</v>
      </c>
      <c r="O27" s="1120">
        <f>IF($E27=0," ",'t13'!O27/$E27)</f>
        <v>131.93548387096774</v>
      </c>
      <c r="P27" s="1120">
        <f>IF($E27=0," ",SUM('t13'!C27:H27)/$E27)</f>
        <v>1188.6774193548388</v>
      </c>
      <c r="Q27" s="1120">
        <f>IF($E27=0," ",(SUM('t13'!I27:L27)+'t13'!N27)/$E27)</f>
        <v>3216.032258064516</v>
      </c>
      <c r="R27" s="1121">
        <f t="shared" si="1"/>
        <v>4536.645161290323</v>
      </c>
      <c r="S27" s="1122">
        <f>IF($E27=0," ",'t13'!M27/$E27)</f>
        <v>733.8387096774194</v>
      </c>
      <c r="U27"/>
      <c r="V27"/>
      <c r="W27"/>
      <c r="X27"/>
    </row>
    <row r="28" spans="1:24" s="116" customFormat="1" ht="11.25">
      <c r="A28" s="147" t="str">
        <f>'t1'!A28</f>
        <v>POSIZIONE ECONOMICA C2</v>
      </c>
      <c r="B28" s="377" t="str">
        <f>'t1'!B28</f>
        <v>042000</v>
      </c>
      <c r="C28" s="1118">
        <f>'t1'!L28+'t1'!M28</f>
        <v>39</v>
      </c>
      <c r="D28" s="1118">
        <f>('t1'!L28+'t1'!M28)-SUM('t3'!C28:F28,'t3'!I28:L28)+SUM('t3'!M28:P28)</f>
        <v>39</v>
      </c>
      <c r="E28" s="1119">
        <f>'t12'!C28/12</f>
        <v>38.916666666666664</v>
      </c>
      <c r="F28" s="1119">
        <f>IF($D28&gt;0,(('t11'!C30+'t11'!D30)/$D28)," ")</f>
        <v>14.051282051282051</v>
      </c>
      <c r="G28" s="1119">
        <f>IF($D28&gt;0,(SUM('t11'!E30:T30)/$D28)," ")</f>
        <v>14.102564102564102</v>
      </c>
      <c r="H28" s="1119">
        <f>IF($D28&gt;0,(SUM('t11'!U30:X30)/$D28)," ")</f>
        <v>0</v>
      </c>
      <c r="I28" s="1120">
        <f>IF($E28=0," ",('t12'!D28+'t12'!E28+'t12'!H28)/$E28)</f>
        <v>19943.46038543897</v>
      </c>
      <c r="J28" s="1120">
        <f>IF($E28=0," ",'t12'!F28/$E28)</f>
        <v>59.974304068522486</v>
      </c>
      <c r="K28" s="1120">
        <f>IF($E28=0," ",'t12'!G28/$E28)</f>
        <v>1640.608137044968</v>
      </c>
      <c r="L28" s="1121">
        <f t="shared" si="0"/>
        <v>21644.04282655246</v>
      </c>
      <c r="M28" s="1122">
        <f>IF($E28=0," ",'t12'!I28/$E28)</f>
        <v>116.60813704496789</v>
      </c>
      <c r="N28" s="1122">
        <f>IF($E28=0," ",'t12'!J28/$E28)</f>
        <v>1.7730192719486082</v>
      </c>
      <c r="O28" s="1120">
        <f>IF($E28=0," ",'t13'!O28/$E28)</f>
        <v>89.80728051391864</v>
      </c>
      <c r="P28" s="1120">
        <f>IF($E28=0," ",SUM('t13'!C28:H28)/$E28)</f>
        <v>905.576017130621</v>
      </c>
      <c r="Q28" s="1120">
        <f>IF($E28=0," ",(SUM('t13'!I28:L28)+'t13'!N28)/$E28)</f>
        <v>2545.5160599571736</v>
      </c>
      <c r="R28" s="1121">
        <f t="shared" si="1"/>
        <v>3540.8993576017133</v>
      </c>
      <c r="S28" s="1122">
        <f>IF($E28=0," ",'t13'!M28/$E28)</f>
        <v>657.1734475374733</v>
      </c>
      <c r="U28"/>
      <c r="V28"/>
      <c r="W28"/>
      <c r="X28"/>
    </row>
    <row r="29" spans="1:24" s="116" customFormat="1" ht="11.25">
      <c r="A29" s="147" t="str">
        <f>'t1'!A29</f>
        <v>POSIZIONE ECONOMICA DI ACCESSO C1</v>
      </c>
      <c r="B29" s="377" t="str">
        <f>'t1'!B29</f>
        <v>056000</v>
      </c>
      <c r="C29" s="1118">
        <f>'t1'!L29+'t1'!M29</f>
        <v>0</v>
      </c>
      <c r="D29" s="1118">
        <f>('t1'!L29+'t1'!M29)-SUM('t3'!C29:F29,'t3'!I29:L29)+SUM('t3'!M29:P29)</f>
        <v>0</v>
      </c>
      <c r="E29" s="1119">
        <f>'t12'!C29/12</f>
        <v>0.75</v>
      </c>
      <c r="F29" s="1119" t="str">
        <f>IF($D29&gt;0,(('t11'!C31+'t11'!D31)/$D29)," ")</f>
        <v> </v>
      </c>
      <c r="G29" s="1119" t="str">
        <f>IF($D29&gt;0,(SUM('t11'!E31:T31)/$D29)," ")</f>
        <v> </v>
      </c>
      <c r="H29" s="1119" t="str">
        <f>IF($D29&gt;0,(SUM('t11'!U31:X31)/$D29)," ")</f>
        <v> </v>
      </c>
      <c r="I29" s="1120">
        <f>IF($E29=0," ",('t12'!D29+'t12'!E29+'t12'!H29)/$E29)</f>
        <v>19868</v>
      </c>
      <c r="J29" s="1120">
        <f>IF($E29=0," ",'t12'!F29/$E29)</f>
        <v>420</v>
      </c>
      <c r="K29" s="1120">
        <f>IF($E29=0," ",'t12'!G29/$E29)</f>
        <v>1686.6666666666667</v>
      </c>
      <c r="L29" s="1121">
        <f t="shared" si="0"/>
        <v>21974.666666666668</v>
      </c>
      <c r="M29" s="1122">
        <f>IF($E29=0," ",'t12'!I29/$E29)</f>
        <v>156</v>
      </c>
      <c r="N29" s="1122">
        <f>IF($E29=0," ",'t12'!J29/$E29)</f>
        <v>66.66666666666667</v>
      </c>
      <c r="O29" s="1120">
        <f>IF($E29=0," ",'t13'!O29/$E29)</f>
        <v>0</v>
      </c>
      <c r="P29" s="1120">
        <f>IF($E29=0," ",SUM('t13'!C29:H29)/$E29)</f>
        <v>549.3333333333334</v>
      </c>
      <c r="Q29" s="1120">
        <f>IF($E29=0," ",(SUM('t13'!I29:L29)+'t13'!N29)/$E29)</f>
        <v>517.3333333333334</v>
      </c>
      <c r="R29" s="1121">
        <f t="shared" si="1"/>
        <v>1066.6666666666667</v>
      </c>
      <c r="S29" s="1122">
        <f>IF($E29=0," ",'t13'!M29/$E29)</f>
        <v>146.66666666666666</v>
      </c>
      <c r="U29"/>
      <c r="V29"/>
      <c r="W29"/>
      <c r="X29"/>
    </row>
    <row r="30" spans="1:24" s="116" customFormat="1" ht="11.25">
      <c r="A30" s="147" t="str">
        <f>'t1'!A30</f>
        <v>POSIZ. ECON. B7 - PROFILO ACCESSO B3</v>
      </c>
      <c r="B30" s="377" t="str">
        <f>'t1'!B30</f>
        <v>0B7A00</v>
      </c>
      <c r="C30" s="1118">
        <f>'t1'!L30+'t1'!M30</f>
        <v>0</v>
      </c>
      <c r="D30" s="1118">
        <f>('t1'!L30+'t1'!M30)-SUM('t3'!C30:F30,'t3'!I30:L30)+SUM('t3'!M30:P30)</f>
        <v>0</v>
      </c>
      <c r="E30" s="1119">
        <f>'t12'!C30/12</f>
        <v>0</v>
      </c>
      <c r="F30" s="1119" t="str">
        <f>IF($D30&gt;0,(('t11'!C32+'t11'!D32)/$D30)," ")</f>
        <v> </v>
      </c>
      <c r="G30" s="1119" t="str">
        <f>IF($D30&gt;0,(SUM('t11'!E32:T32)/$D30)," ")</f>
        <v> </v>
      </c>
      <c r="H30" s="1119" t="str">
        <f>IF($D30&gt;0,(SUM('t11'!U32:X32)/$D30)," ")</f>
        <v> </v>
      </c>
      <c r="I30" s="1120" t="str">
        <f>IF($E30=0," ",('t12'!D30+'t12'!E30+'t12'!H30)/$E30)</f>
        <v> </v>
      </c>
      <c r="J30" s="1120" t="str">
        <f>IF($E30=0," ",'t12'!F30/$E30)</f>
        <v> </v>
      </c>
      <c r="K30" s="1120" t="str">
        <f>IF($E30=0," ",'t12'!G30/$E30)</f>
        <v> </v>
      </c>
      <c r="L30" s="1121">
        <f t="shared" si="0"/>
        <v>0</v>
      </c>
      <c r="M30" s="1122" t="str">
        <f>IF($E30=0," ",'t12'!I30/$E30)</f>
        <v> </v>
      </c>
      <c r="N30" s="1122" t="str">
        <f>IF($E30=0," ",'t12'!J30/$E30)</f>
        <v> </v>
      </c>
      <c r="O30" s="1120" t="str">
        <f>IF($E30=0," ",'t13'!O30/$E30)</f>
        <v> </v>
      </c>
      <c r="P30" s="1120" t="str">
        <f>IF($E30=0," ",SUM('t13'!C30:H30)/$E30)</f>
        <v> </v>
      </c>
      <c r="Q30" s="1120" t="str">
        <f>IF($E30=0," ",(SUM('t13'!I30:L30)+'t13'!N30)/$E30)</f>
        <v> </v>
      </c>
      <c r="R30" s="1121">
        <f t="shared" si="1"/>
        <v>0</v>
      </c>
      <c r="S30" s="1122" t="str">
        <f>IF($E30=0," ",'t13'!M30/$E30)</f>
        <v> </v>
      </c>
      <c r="U30"/>
      <c r="V30"/>
      <c r="W30"/>
      <c r="X30"/>
    </row>
    <row r="31" spans="1:24" s="116" customFormat="1" ht="11.25">
      <c r="A31" s="147" t="str">
        <f>'t1'!A31</f>
        <v>POSIZ. ECON. B7 - PROFILO  ACCESSO B1</v>
      </c>
      <c r="B31" s="377" t="str">
        <f>'t1'!B31</f>
        <v>0B7000</v>
      </c>
      <c r="C31" s="1118">
        <f>'t1'!L31+'t1'!M31</f>
        <v>0</v>
      </c>
      <c r="D31" s="1118">
        <f>('t1'!L31+'t1'!M31)-SUM('t3'!C31:F31,'t3'!I31:L31)+SUM('t3'!M31:P31)</f>
        <v>0</v>
      </c>
      <c r="E31" s="1119">
        <f>'t12'!C31/12</f>
        <v>0</v>
      </c>
      <c r="F31" s="1119" t="str">
        <f>IF($D31&gt;0,(('t11'!C33+'t11'!D33)/$D31)," ")</f>
        <v> </v>
      </c>
      <c r="G31" s="1119" t="str">
        <f>IF($D31&gt;0,(SUM('t11'!E33:T33)/$D31)," ")</f>
        <v> </v>
      </c>
      <c r="H31" s="1119" t="str">
        <f>IF($D31&gt;0,(SUM('t11'!U33:X33)/$D31)," ")</f>
        <v> </v>
      </c>
      <c r="I31" s="1120" t="str">
        <f>IF($E31=0," ",('t12'!D31+'t12'!E31+'t12'!H31)/$E31)</f>
        <v> </v>
      </c>
      <c r="J31" s="1120" t="str">
        <f>IF($E31=0," ",'t12'!F31/$E31)</f>
        <v> </v>
      </c>
      <c r="K31" s="1120" t="str">
        <f>IF($E31=0," ",'t12'!G31/$E31)</f>
        <v> </v>
      </c>
      <c r="L31" s="1121">
        <f t="shared" si="0"/>
        <v>0</v>
      </c>
      <c r="M31" s="1122" t="str">
        <f>IF($E31=0," ",'t12'!I31/$E31)</f>
        <v> </v>
      </c>
      <c r="N31" s="1122" t="str">
        <f>IF($E31=0," ",'t12'!J31/$E31)</f>
        <v> </v>
      </c>
      <c r="O31" s="1120" t="str">
        <f>IF($E31=0," ",'t13'!O31/$E31)</f>
        <v> </v>
      </c>
      <c r="P31" s="1120" t="str">
        <f>IF($E31=0," ",SUM('t13'!C31:H31)/$E31)</f>
        <v> </v>
      </c>
      <c r="Q31" s="1120" t="str">
        <f>IF($E31=0," ",(SUM('t13'!I31:L31)+'t13'!N31)/$E31)</f>
        <v> </v>
      </c>
      <c r="R31" s="1121">
        <f t="shared" si="1"/>
        <v>0</v>
      </c>
      <c r="S31" s="1122" t="str">
        <f>IF($E31=0," ",'t13'!M31/$E31)</f>
        <v> </v>
      </c>
      <c r="U31"/>
      <c r="V31"/>
      <c r="W31"/>
      <c r="X31"/>
    </row>
    <row r="32" spans="1:24" s="116" customFormat="1" ht="11.25">
      <c r="A32" s="147" t="str">
        <f>'t1'!A32</f>
        <v>POSIZ.ECON. B6 PROFILI ACCESSO B3</v>
      </c>
      <c r="B32" s="377" t="str">
        <f>'t1'!B32</f>
        <v>038490</v>
      </c>
      <c r="C32" s="1118">
        <f>'t1'!L32+'t1'!M32</f>
        <v>0</v>
      </c>
      <c r="D32" s="1118">
        <f>('t1'!L32+'t1'!M32)-SUM('t3'!C32:F32,'t3'!I32:L32)+SUM('t3'!M32:P32)</f>
        <v>0</v>
      </c>
      <c r="E32" s="1119">
        <f>'t12'!C32/12</f>
        <v>0</v>
      </c>
      <c r="F32" s="1119" t="str">
        <f>IF($D32&gt;0,(('t11'!C34+'t11'!D34)/$D32)," ")</f>
        <v> </v>
      </c>
      <c r="G32" s="1119" t="str">
        <f>IF($D32&gt;0,(SUM('t11'!E34:T34)/$D32)," ")</f>
        <v> </v>
      </c>
      <c r="H32" s="1119" t="str">
        <f>IF($D32&gt;0,(SUM('t11'!U34:X34)/$D32)," ")</f>
        <v> </v>
      </c>
      <c r="I32" s="1120" t="str">
        <f>IF($E32=0," ",('t12'!D32+'t12'!E32+'t12'!H32)/$E32)</f>
        <v> </v>
      </c>
      <c r="J32" s="1120" t="str">
        <f>IF($E32=0," ",'t12'!F32/$E32)</f>
        <v> </v>
      </c>
      <c r="K32" s="1120" t="str">
        <f>IF($E32=0," ",'t12'!G32/$E32)</f>
        <v> </v>
      </c>
      <c r="L32" s="1121">
        <f t="shared" si="0"/>
        <v>0</v>
      </c>
      <c r="M32" s="1122" t="str">
        <f>IF($E32=0," ",'t12'!I32/$E32)</f>
        <v> </v>
      </c>
      <c r="N32" s="1122" t="str">
        <f>IF($E32=0," ",'t12'!J32/$E32)</f>
        <v> </v>
      </c>
      <c r="O32" s="1120" t="str">
        <f>IF($E32=0," ",'t13'!O32/$E32)</f>
        <v> </v>
      </c>
      <c r="P32" s="1120" t="str">
        <f>IF($E32=0," ",SUM('t13'!C32:H32)/$E32)</f>
        <v> </v>
      </c>
      <c r="Q32" s="1120" t="str">
        <f>IF($E32=0," ",(SUM('t13'!I32:L32)+'t13'!N32)/$E32)</f>
        <v> </v>
      </c>
      <c r="R32" s="1121">
        <f t="shared" si="1"/>
        <v>0</v>
      </c>
      <c r="S32" s="1122" t="str">
        <f>IF($E32=0," ",'t13'!M32/$E32)</f>
        <v> </v>
      </c>
      <c r="U32"/>
      <c r="V32"/>
      <c r="W32"/>
      <c r="X32"/>
    </row>
    <row r="33" spans="1:24" s="116" customFormat="1" ht="11.25">
      <c r="A33" s="147" t="str">
        <f>'t1'!A33</f>
        <v>POSIZ.ECON. B6 PROFILI ACCESSO B1</v>
      </c>
      <c r="B33" s="377" t="str">
        <f>'t1'!B33</f>
        <v>038491</v>
      </c>
      <c r="C33" s="1118">
        <f>'t1'!L33+'t1'!M33</f>
        <v>0</v>
      </c>
      <c r="D33" s="1118">
        <f>('t1'!L33+'t1'!M33)-SUM('t3'!C33:F33,'t3'!I33:L33)+SUM('t3'!M33:P33)</f>
        <v>0</v>
      </c>
      <c r="E33" s="1119">
        <f>'t12'!C33/12</f>
        <v>0</v>
      </c>
      <c r="F33" s="1119" t="str">
        <f>IF($D33&gt;0,(('t11'!C35+'t11'!D35)/$D33)," ")</f>
        <v> </v>
      </c>
      <c r="G33" s="1119" t="str">
        <f>IF($D33&gt;0,(SUM('t11'!E35:T35)/$D33)," ")</f>
        <v> </v>
      </c>
      <c r="H33" s="1119" t="str">
        <f>IF($D33&gt;0,(SUM('t11'!U35:X35)/$D33)," ")</f>
        <v> </v>
      </c>
      <c r="I33" s="1120" t="str">
        <f>IF($E33=0," ",('t12'!D33+'t12'!E33+'t12'!H33)/$E33)</f>
        <v> </v>
      </c>
      <c r="J33" s="1120" t="str">
        <f>IF($E33=0," ",'t12'!F33/$E33)</f>
        <v> </v>
      </c>
      <c r="K33" s="1120" t="str">
        <f>IF($E33=0," ",'t12'!G33/$E33)</f>
        <v> </v>
      </c>
      <c r="L33" s="1121">
        <f t="shared" si="0"/>
        <v>0</v>
      </c>
      <c r="M33" s="1122" t="str">
        <f>IF($E33=0," ",'t12'!I33/$E33)</f>
        <v> </v>
      </c>
      <c r="N33" s="1122" t="str">
        <f>IF($E33=0," ",'t12'!J33/$E33)</f>
        <v> </v>
      </c>
      <c r="O33" s="1120" t="str">
        <f>IF($E33=0," ",'t13'!O33/$E33)</f>
        <v> </v>
      </c>
      <c r="P33" s="1120" t="str">
        <f>IF($E33=0," ",SUM('t13'!C33:H33)/$E33)</f>
        <v> </v>
      </c>
      <c r="Q33" s="1120" t="str">
        <f>IF($E33=0," ",(SUM('t13'!I33:L33)+'t13'!N33)/$E33)</f>
        <v> </v>
      </c>
      <c r="R33" s="1121">
        <f t="shared" si="1"/>
        <v>0</v>
      </c>
      <c r="S33" s="1122" t="str">
        <f>IF($E33=0," ",'t13'!M33/$E33)</f>
        <v> </v>
      </c>
      <c r="U33"/>
      <c r="V33"/>
      <c r="W33"/>
      <c r="X33"/>
    </row>
    <row r="34" spans="1:24" s="116" customFormat="1" ht="11.25">
      <c r="A34" s="147" t="str">
        <f>'t1'!A34</f>
        <v>POSIZ.ECON. B5 PROFILI ACCESSO B3</v>
      </c>
      <c r="B34" s="377" t="str">
        <f>'t1'!B34</f>
        <v>037492</v>
      </c>
      <c r="C34" s="1118">
        <f>'t1'!L34+'t1'!M34</f>
        <v>1</v>
      </c>
      <c r="D34" s="1118">
        <f>('t1'!L34+'t1'!M34)-SUM('t3'!C34:F34,'t3'!I34:L34)+SUM('t3'!M34:P34)</f>
        <v>1</v>
      </c>
      <c r="E34" s="1119">
        <f>'t12'!C34/12</f>
        <v>0.08333333333333333</v>
      </c>
      <c r="F34" s="1119">
        <f>IF($D34&gt;0,(('t11'!C36+'t11'!D36)/$D34)," ")</f>
        <v>32</v>
      </c>
      <c r="G34" s="1119">
        <f>IF($D34&gt;0,(SUM('t11'!E36:T36)/$D34)," ")</f>
        <v>33</v>
      </c>
      <c r="H34" s="1119">
        <f>IF($D34&gt;0,(SUM('t11'!U36:X36)/$D34)," ")</f>
        <v>0</v>
      </c>
      <c r="I34" s="1120">
        <f>IF($E34=0," ",('t12'!D34+'t12'!E34+'t12'!H34)/$E34)</f>
        <v>18804</v>
      </c>
      <c r="J34" s="1120">
        <f>IF($E34=0," ",'t12'!F34/$E34)</f>
        <v>0</v>
      </c>
      <c r="K34" s="1120">
        <f>IF($E34=0," ",'t12'!G34/$E34)</f>
        <v>24792</v>
      </c>
      <c r="L34" s="1121">
        <f t="shared" si="0"/>
        <v>43596</v>
      </c>
      <c r="M34" s="1122">
        <f>IF($E34=0," ",'t12'!I34/$E34)</f>
        <v>0</v>
      </c>
      <c r="N34" s="1122">
        <f>IF($E34=0," ",'t12'!J34/$E34)</f>
        <v>0</v>
      </c>
      <c r="O34" s="1120">
        <f>IF($E34=0," ",'t13'!O34/$E34)</f>
        <v>0</v>
      </c>
      <c r="P34" s="1120">
        <f>IF($E34=0," ",SUM('t13'!C34:H34)/$E34)</f>
        <v>6468</v>
      </c>
      <c r="Q34" s="1120">
        <f>IF($E34=0," ",(SUM('t13'!I34:L34)+'t13'!N34)/$E34)</f>
        <v>360</v>
      </c>
      <c r="R34" s="1121">
        <f t="shared" si="1"/>
        <v>6828</v>
      </c>
      <c r="S34" s="1122">
        <f>IF($E34=0," ",'t13'!M34/$E34)</f>
        <v>0</v>
      </c>
      <c r="U34"/>
      <c r="V34"/>
      <c r="W34"/>
      <c r="X34"/>
    </row>
    <row r="35" spans="1:24" s="116" customFormat="1" ht="11.25">
      <c r="A35" s="147" t="str">
        <f>'t1'!A35</f>
        <v>POSIZ.ECON. B5 PROFILI ACCESSO B1</v>
      </c>
      <c r="B35" s="377" t="str">
        <f>'t1'!B35</f>
        <v>037493</v>
      </c>
      <c r="C35" s="1118">
        <f>'t1'!L35+'t1'!M35</f>
        <v>0</v>
      </c>
      <c r="D35" s="1118">
        <f>('t1'!L35+'t1'!M35)-SUM('t3'!C35:F35,'t3'!I35:L35)+SUM('t3'!M35:P35)</f>
        <v>0</v>
      </c>
      <c r="E35" s="1119">
        <f>'t12'!C35/12</f>
        <v>0</v>
      </c>
      <c r="F35" s="1119" t="str">
        <f>IF($D35&gt;0,(('t11'!C37+'t11'!D37)/$D35)," ")</f>
        <v> </v>
      </c>
      <c r="G35" s="1119" t="str">
        <f>IF($D35&gt;0,(SUM('t11'!E37:T37)/$D35)," ")</f>
        <v> </v>
      </c>
      <c r="H35" s="1119" t="str">
        <f>IF($D35&gt;0,(SUM('t11'!U37:X37)/$D35)," ")</f>
        <v> </v>
      </c>
      <c r="I35" s="1120" t="str">
        <f>IF($E35=0," ",('t12'!D35+'t12'!E35+'t12'!H35)/$E35)</f>
        <v> </v>
      </c>
      <c r="J35" s="1120" t="str">
        <f>IF($E35=0," ",'t12'!F35/$E35)</f>
        <v> </v>
      </c>
      <c r="K35" s="1120" t="str">
        <f>IF($E35=0," ",'t12'!G35/$E35)</f>
        <v> </v>
      </c>
      <c r="L35" s="1121">
        <f t="shared" si="0"/>
        <v>0</v>
      </c>
      <c r="M35" s="1122" t="str">
        <f>IF($E35=0," ",'t12'!I35/$E35)</f>
        <v> </v>
      </c>
      <c r="N35" s="1122" t="str">
        <f>IF($E35=0," ",'t12'!J35/$E35)</f>
        <v> </v>
      </c>
      <c r="O35" s="1120" t="str">
        <f>IF($E35=0," ",'t13'!O35/$E35)</f>
        <v> </v>
      </c>
      <c r="P35" s="1120" t="str">
        <f>IF($E35=0," ",SUM('t13'!C35:H35)/$E35)</f>
        <v> </v>
      </c>
      <c r="Q35" s="1120" t="str">
        <f>IF($E35=0," ",(SUM('t13'!I35:L35)+'t13'!N35)/$E35)</f>
        <v> </v>
      </c>
      <c r="R35" s="1121">
        <f t="shared" si="1"/>
        <v>0</v>
      </c>
      <c r="S35" s="1122" t="str">
        <f>IF($E35=0," ",'t13'!M35/$E35)</f>
        <v> </v>
      </c>
      <c r="U35"/>
      <c r="V35"/>
      <c r="W35"/>
      <c r="X35"/>
    </row>
    <row r="36" spans="1:24" s="116" customFormat="1" ht="11.25">
      <c r="A36" s="147" t="str">
        <f>'t1'!A36</f>
        <v>POSIZ.ECON. B4 PROFILI ACCESSO B3</v>
      </c>
      <c r="B36" s="377" t="str">
        <f>'t1'!B36</f>
        <v>036494</v>
      </c>
      <c r="C36" s="1118">
        <f>'t1'!L36+'t1'!M36</f>
        <v>30</v>
      </c>
      <c r="D36" s="1118">
        <f>('t1'!L36+'t1'!M36)-SUM('t3'!C36:F36,'t3'!I36:L36)+SUM('t3'!M36:P36)</f>
        <v>30</v>
      </c>
      <c r="E36" s="1119">
        <f>'t12'!C36/12</f>
        <v>30.916666666666668</v>
      </c>
      <c r="F36" s="1119">
        <f>IF($D36&gt;0,(('t11'!C38+'t11'!D38)/$D36)," ")</f>
        <v>6.1</v>
      </c>
      <c r="G36" s="1119">
        <f>IF($D36&gt;0,(SUM('t11'!E38:T38)/$D36)," ")</f>
        <v>5.833333333333333</v>
      </c>
      <c r="H36" s="1119">
        <f>IF($D36&gt;0,(SUM('t11'!U38:X38)/$D36)," ")</f>
        <v>0</v>
      </c>
      <c r="I36" s="1120">
        <f>IF($E36=0," ",('t12'!D36+'t12'!E36+'t12'!H36)/$E36)</f>
        <v>18508.269541778976</v>
      </c>
      <c r="J36" s="1120">
        <f>IF($E36=0," ",'t12'!F36/$E36)</f>
        <v>4.981132075471698</v>
      </c>
      <c r="K36" s="1120">
        <f>IF($E36=0," ",'t12'!G36/$E36)</f>
        <v>1498.3504043126684</v>
      </c>
      <c r="L36" s="1121">
        <f t="shared" si="0"/>
        <v>20011.601078167114</v>
      </c>
      <c r="M36" s="1122">
        <f>IF($E36=0," ",'t12'!I36/$E36)</f>
        <v>111.42857142857143</v>
      </c>
      <c r="N36" s="1122">
        <f>IF($E36=0," ",'t12'!J36/$E36)</f>
        <v>0</v>
      </c>
      <c r="O36" s="1120">
        <f>IF($E36=0," ",'t13'!O36/$E36)</f>
        <v>90.01617250673854</v>
      </c>
      <c r="P36" s="1120">
        <f>IF($E36=0," ",SUM('t13'!C36:H36)/$E36)</f>
        <v>649.1967654986522</v>
      </c>
      <c r="Q36" s="1120">
        <f>IF($E36=0," ",(SUM('t13'!I36:L36)+'t13'!N36)/$E36)</f>
        <v>2240.053908355795</v>
      </c>
      <c r="R36" s="1121">
        <f t="shared" si="1"/>
        <v>2979.266846361186</v>
      </c>
      <c r="S36" s="1122">
        <f>IF($E36=0," ",'t13'!M36/$E36)</f>
        <v>897.6711590296495</v>
      </c>
      <c r="U36"/>
      <c r="V36"/>
      <c r="W36"/>
      <c r="X36"/>
    </row>
    <row r="37" spans="1:24" s="116" customFormat="1" ht="11.25">
      <c r="A37" s="147" t="str">
        <f>'t1'!A37</f>
        <v>POSIZ.ECON. B4 PROFILI ACCESSO B1</v>
      </c>
      <c r="B37" s="377" t="str">
        <f>'t1'!B37</f>
        <v>036495</v>
      </c>
      <c r="C37" s="1118">
        <f>'t1'!L37+'t1'!M37</f>
        <v>2</v>
      </c>
      <c r="D37" s="1118">
        <f>('t1'!L37+'t1'!M37)-SUM('t3'!C37:F37,'t3'!I37:L37)+SUM('t3'!M37:P37)</f>
        <v>2</v>
      </c>
      <c r="E37" s="1119">
        <f>'t12'!C37/12</f>
        <v>2</v>
      </c>
      <c r="F37" s="1119">
        <f>IF($D37&gt;0,(('t11'!C39+'t11'!D39)/$D37)," ")</f>
        <v>10.5</v>
      </c>
      <c r="G37" s="1119">
        <f>IF($D37&gt;0,(SUM('t11'!E39:T39)/$D37)," ")</f>
        <v>12.5</v>
      </c>
      <c r="H37" s="1119">
        <f>IF($D37&gt;0,(SUM('t11'!U39:X39)/$D37)," ")</f>
        <v>0</v>
      </c>
      <c r="I37" s="1120">
        <f>IF($E37=0," ",('t12'!D37+'t12'!E37+'t12'!H37)/$E37)</f>
        <v>18533.5</v>
      </c>
      <c r="J37" s="1120">
        <f>IF($E37=0," ",'t12'!F37/$E37)</f>
        <v>0</v>
      </c>
      <c r="K37" s="1120">
        <f>IF($E37=0," ",'t12'!G37/$E37)</f>
        <v>1545.5</v>
      </c>
      <c r="L37" s="1121">
        <f t="shared" si="0"/>
        <v>20079</v>
      </c>
      <c r="M37" s="1122">
        <f>IF($E37=0," ",'t12'!I37/$E37)</f>
        <v>111</v>
      </c>
      <c r="N37" s="1122">
        <f>IF($E37=0," ",'t12'!J37/$E37)</f>
        <v>0</v>
      </c>
      <c r="O37" s="1120">
        <f>IF($E37=0," ",'t13'!O37/$E37)</f>
        <v>0</v>
      </c>
      <c r="P37" s="1120">
        <f>IF($E37=0," ",SUM('t13'!C37:H37)/$E37)</f>
        <v>471.5</v>
      </c>
      <c r="Q37" s="1120">
        <f>IF($E37=0," ",(SUM('t13'!I37:L37)+'t13'!N37)/$E37)</f>
        <v>972</v>
      </c>
      <c r="R37" s="1121">
        <f t="shared" si="1"/>
        <v>1443.5</v>
      </c>
      <c r="S37" s="1122">
        <f>IF($E37=0," ",'t13'!M37/$E37)</f>
        <v>300</v>
      </c>
      <c r="U37"/>
      <c r="V37"/>
      <c r="W37"/>
      <c r="X37"/>
    </row>
    <row r="38" spans="1:24" s="116" customFormat="1" ht="11.25">
      <c r="A38" s="147" t="str">
        <f>'t1'!A38</f>
        <v>POSIZIONE ECONOMICA DI ACCESSO B3</v>
      </c>
      <c r="B38" s="377" t="str">
        <f>'t1'!B38</f>
        <v>055000</v>
      </c>
      <c r="C38" s="1118">
        <f>'t1'!L38+'t1'!M38</f>
        <v>12</v>
      </c>
      <c r="D38" s="1118">
        <f>('t1'!L38+'t1'!M38)-SUM('t3'!C38:F38,'t3'!I38:L38)+SUM('t3'!M38:P38)</f>
        <v>12</v>
      </c>
      <c r="E38" s="1119">
        <f>'t12'!C38/12</f>
        <v>12.073333333333332</v>
      </c>
      <c r="F38" s="1119">
        <f>IF($D38&gt;0,(('t11'!C40+'t11'!D40)/$D38)," ")</f>
        <v>18.083333333333332</v>
      </c>
      <c r="G38" s="1119">
        <f>IF($D38&gt;0,(SUM('t11'!E40:T40)/$D38)," ")</f>
        <v>14.166666666666666</v>
      </c>
      <c r="H38" s="1119">
        <f>IF($D38&gt;0,(SUM('t11'!U40:X40)/$D38)," ")</f>
        <v>0</v>
      </c>
      <c r="I38" s="1120">
        <f>IF($E38=0," ",('t12'!D38+'t12'!E38+'t12'!H38)/$E38)</f>
        <v>18274.986195472116</v>
      </c>
      <c r="J38" s="1120">
        <f>IF($E38=0," ",'t12'!F38/$E38)</f>
        <v>41.24792932081723</v>
      </c>
      <c r="K38" s="1120">
        <f>IF($E38=0," ",'t12'!G38/$E38)</f>
        <v>1578.188845941469</v>
      </c>
      <c r="L38" s="1121">
        <f t="shared" si="0"/>
        <v>19894.422970734402</v>
      </c>
      <c r="M38" s="1122">
        <f>IF($E38=0," ",'t12'!I38/$E38)</f>
        <v>117.86305908337935</v>
      </c>
      <c r="N38" s="1122">
        <f>IF($E38=0," ",'t12'!J38/$E38)</f>
        <v>0</v>
      </c>
      <c r="O38" s="1120">
        <f>IF($E38=0," ",'t13'!O38/$E38)</f>
        <v>0</v>
      </c>
      <c r="P38" s="1120">
        <f>IF($E38=0," ",SUM('t13'!C38:H38)/$E38)</f>
        <v>536.3059083379349</v>
      </c>
      <c r="Q38" s="1120">
        <f>IF($E38=0," ",(SUM('t13'!I38:L38)+'t13'!N38)/$E38)</f>
        <v>2153.009387078962</v>
      </c>
      <c r="R38" s="1121">
        <f t="shared" si="1"/>
        <v>2689.315295416897</v>
      </c>
      <c r="S38" s="1122">
        <f>IF($E38=0," ",'t13'!M38/$E38)</f>
        <v>263.9701822197681</v>
      </c>
      <c r="U38"/>
      <c r="V38"/>
      <c r="W38"/>
      <c r="X38"/>
    </row>
    <row r="39" spans="1:24" s="116" customFormat="1" ht="11.25">
      <c r="A39" s="147" t="str">
        <f>'t1'!A39</f>
        <v>POSIZIONE ECONOMICA B3</v>
      </c>
      <c r="B39" s="377" t="str">
        <f>'t1'!B39</f>
        <v>034000</v>
      </c>
      <c r="C39" s="1118">
        <f>'t1'!L39+'t1'!M39</f>
        <v>13</v>
      </c>
      <c r="D39" s="1118">
        <f>('t1'!L39+'t1'!M39)-SUM('t3'!C39:F39,'t3'!I39:L39)+SUM('t3'!M39:P39)</f>
        <v>13</v>
      </c>
      <c r="E39" s="1119">
        <f>'t12'!C39/12</f>
        <v>13</v>
      </c>
      <c r="F39" s="1119">
        <f>IF($D39&gt;0,(('t11'!C41+'t11'!D41)/$D39)," ")</f>
        <v>16.846153846153847</v>
      </c>
      <c r="G39" s="1119">
        <f>IF($D39&gt;0,(SUM('t11'!E41:T41)/$D39)," ")</f>
        <v>8.846153846153847</v>
      </c>
      <c r="H39" s="1119">
        <f>IF($D39&gt;0,(SUM('t11'!U41:X41)/$D39)," ")</f>
        <v>0</v>
      </c>
      <c r="I39" s="1120">
        <f>IF($E39=0," ",('t12'!D39+'t12'!E39+'t12'!H39)/$E39)</f>
        <v>18248.23076923077</v>
      </c>
      <c r="J39" s="1120">
        <f>IF($E39=0," ",'t12'!F39/$E39)</f>
        <v>0</v>
      </c>
      <c r="K39" s="1120">
        <f>IF($E39=0," ",'t12'!G39/$E39)</f>
        <v>1521.4615384615386</v>
      </c>
      <c r="L39" s="1121">
        <f t="shared" si="0"/>
        <v>19769.69230769231</v>
      </c>
      <c r="M39" s="1122">
        <f>IF($E39=0," ",'t12'!I39/$E39)</f>
        <v>109.46153846153847</v>
      </c>
      <c r="N39" s="1122">
        <f>IF($E39=0," ",'t12'!J39/$E39)</f>
        <v>0</v>
      </c>
      <c r="O39" s="1120">
        <f>IF($E39=0," ",'t13'!O39/$E39)</f>
        <v>259.6923076923077</v>
      </c>
      <c r="P39" s="1120">
        <f>IF($E39=0," ",SUM('t13'!C39:H39)/$E39)</f>
        <v>471.6923076923077</v>
      </c>
      <c r="Q39" s="1120">
        <f>IF($E39=0," ",(SUM('t13'!I39:L39)+'t13'!N39)/$E39)</f>
        <v>1250.1538461538462</v>
      </c>
      <c r="R39" s="1121">
        <f t="shared" si="1"/>
        <v>1981.5384615384614</v>
      </c>
      <c r="S39" s="1122">
        <f>IF($E39=0," ",'t13'!M39/$E39)</f>
        <v>831.4615384615385</v>
      </c>
      <c r="U39"/>
      <c r="V39"/>
      <c r="W39"/>
      <c r="X39"/>
    </row>
    <row r="40" spans="1:24" s="116" customFormat="1" ht="11.25">
      <c r="A40" s="147" t="str">
        <f>'t1'!A40</f>
        <v>POSIZIONE ECONOMICA B2</v>
      </c>
      <c r="B40" s="377" t="str">
        <f>'t1'!B40</f>
        <v>032000</v>
      </c>
      <c r="C40" s="1118">
        <f>'t1'!L40+'t1'!M40</f>
        <v>10</v>
      </c>
      <c r="D40" s="1118">
        <f>('t1'!L40+'t1'!M40)-SUM('t3'!C40:F40,'t3'!I40:L40)+SUM('t3'!M40:P40)</f>
        <v>10</v>
      </c>
      <c r="E40" s="1119">
        <f>'t12'!C40/12</f>
        <v>10</v>
      </c>
      <c r="F40" s="1119">
        <f>IF($D40&gt;0,(('t11'!C42+'t11'!D42)/$D40)," ")</f>
        <v>11.2</v>
      </c>
      <c r="G40" s="1119">
        <f>IF($D40&gt;0,(SUM('t11'!E42:T42)/$D40)," ")</f>
        <v>6.9</v>
      </c>
      <c r="H40" s="1119">
        <f>IF($D40&gt;0,(SUM('t11'!U42:X42)/$D40)," ")</f>
        <v>0</v>
      </c>
      <c r="I40" s="1120">
        <f>IF($E40=0," ",('t12'!D40+'t12'!E40+'t12'!H40)/$E40)</f>
        <v>17518.8</v>
      </c>
      <c r="J40" s="1120">
        <f>IF($E40=0," ",'t12'!F40/$E40)</f>
        <v>11.8</v>
      </c>
      <c r="K40" s="1120">
        <f>IF($E40=0," ",'t12'!G40/$E40)</f>
        <v>1462</v>
      </c>
      <c r="L40" s="1121">
        <f t="shared" si="0"/>
        <v>18992.6</v>
      </c>
      <c r="M40" s="1122">
        <f>IF($E40=0," ",'t12'!I40/$E40)</f>
        <v>105.4</v>
      </c>
      <c r="N40" s="1122">
        <f>IF($E40=0," ",'t12'!J40/$E40)</f>
        <v>0</v>
      </c>
      <c r="O40" s="1120">
        <f>IF($E40=0," ",'t13'!O40/$E40)</f>
        <v>35.1</v>
      </c>
      <c r="P40" s="1120">
        <f>IF($E40=0," ",SUM('t13'!C40:H40)/$E40)</f>
        <v>471.7</v>
      </c>
      <c r="Q40" s="1120">
        <f>IF($E40=0," ",(SUM('t13'!I40:L40)+'t13'!N40)/$E40)</f>
        <v>918.5</v>
      </c>
      <c r="R40" s="1121">
        <f t="shared" si="1"/>
        <v>1425.3</v>
      </c>
      <c r="S40" s="1122">
        <f>IF($E40=0," ",'t13'!M40/$E40)</f>
        <v>890.4</v>
      </c>
      <c r="U40"/>
      <c r="V40"/>
      <c r="W40"/>
      <c r="X40"/>
    </row>
    <row r="41" spans="1:24" s="116" customFormat="1" ht="11.25">
      <c r="A41" s="147" t="str">
        <f>'t1'!A41</f>
        <v>POSIZIONE ECONOMICA DI ACCESSO B1</v>
      </c>
      <c r="B41" s="377" t="str">
        <f>'t1'!B41</f>
        <v>054000</v>
      </c>
      <c r="C41" s="1118">
        <f>'t1'!L41+'t1'!M41</f>
        <v>1</v>
      </c>
      <c r="D41" s="1118">
        <f>('t1'!L41+'t1'!M41)-SUM('t3'!C41:F41,'t3'!I41:L41)+SUM('t3'!M41:P41)</f>
        <v>1</v>
      </c>
      <c r="E41" s="1119">
        <f>'t12'!C41/12</f>
        <v>1</v>
      </c>
      <c r="F41" s="1119">
        <f>IF($D41&gt;0,(('t11'!C43+'t11'!D43)/$D41)," ")</f>
        <v>25</v>
      </c>
      <c r="G41" s="1119">
        <f>IF($D41&gt;0,(SUM('t11'!E43:T43)/$D41)," ")</f>
        <v>52</v>
      </c>
      <c r="H41" s="1119">
        <f>IF($D41&gt;0,(SUM('t11'!U43:X43)/$D41)," ")</f>
        <v>0</v>
      </c>
      <c r="I41" s="1120">
        <f>IF($E41=0," ",('t12'!D41+'t12'!E41+'t12'!H41)/$E41)</f>
        <v>17240</v>
      </c>
      <c r="J41" s="1120">
        <f>IF($E41=0," ",'t12'!F41/$E41)</f>
        <v>0</v>
      </c>
      <c r="K41" s="1120">
        <f>IF($E41=0," ",'t12'!G41/$E41)</f>
        <v>1437</v>
      </c>
      <c r="L41" s="1121">
        <f t="shared" si="0"/>
        <v>18677</v>
      </c>
      <c r="M41" s="1122">
        <f>IF($E41=0," ",'t12'!I41/$E41)</f>
        <v>104</v>
      </c>
      <c r="N41" s="1122">
        <f>IF($E41=0," ",'t12'!J41/$E41)</f>
        <v>0</v>
      </c>
      <c r="O41" s="1120">
        <f>IF($E41=0," ",'t13'!O41/$E41)</f>
        <v>0</v>
      </c>
      <c r="P41" s="1120">
        <f>IF($E41=0," ",SUM('t13'!C41:H41)/$E41)</f>
        <v>472</v>
      </c>
      <c r="Q41" s="1120">
        <f>IF($E41=0," ",(SUM('t13'!I41:L41)+'t13'!N41)/$E41)</f>
        <v>913</v>
      </c>
      <c r="R41" s="1121">
        <f t="shared" si="1"/>
        <v>1385</v>
      </c>
      <c r="S41" s="1122">
        <f>IF($E41=0," ",'t13'!M41/$E41)</f>
        <v>310</v>
      </c>
      <c r="U41"/>
      <c r="V41"/>
      <c r="W41"/>
      <c r="X41"/>
    </row>
    <row r="42" spans="1:24" s="116" customFormat="1" ht="11.25">
      <c r="A42" s="147" t="str">
        <f>'t1'!A42</f>
        <v>POSIZIONE ECONOMICA A5</v>
      </c>
      <c r="B42" s="377" t="str">
        <f>'t1'!B42</f>
        <v>0A5000</v>
      </c>
      <c r="C42" s="1118">
        <f>'t1'!L42+'t1'!M42</f>
        <v>0</v>
      </c>
      <c r="D42" s="1118">
        <f>('t1'!L42+'t1'!M42)-SUM('t3'!C42:F42,'t3'!I42:L42)+SUM('t3'!M42:P42)</f>
        <v>0</v>
      </c>
      <c r="E42" s="1119">
        <f>'t12'!C42/12</f>
        <v>0</v>
      </c>
      <c r="F42" s="1119" t="str">
        <f>IF($D42&gt;0,(('t11'!C44+'t11'!D44)/$D42)," ")</f>
        <v> </v>
      </c>
      <c r="G42" s="1119" t="str">
        <f>IF($D42&gt;0,(SUM('t11'!E44:T44)/$D42)," ")</f>
        <v> </v>
      </c>
      <c r="H42" s="1119" t="str">
        <f>IF($D42&gt;0,(SUM('t11'!U44:X44)/$D42)," ")</f>
        <v> </v>
      </c>
      <c r="I42" s="1120" t="str">
        <f>IF($E42=0," ",('t12'!D42+'t12'!E42+'t12'!H42)/$E42)</f>
        <v> </v>
      </c>
      <c r="J42" s="1120" t="str">
        <f>IF($E42=0," ",'t12'!F42/$E42)</f>
        <v> </v>
      </c>
      <c r="K42" s="1120" t="str">
        <f>IF($E42=0," ",'t12'!G42/$E42)</f>
        <v> </v>
      </c>
      <c r="L42" s="1121">
        <f t="shared" si="0"/>
        <v>0</v>
      </c>
      <c r="M42" s="1122" t="str">
        <f>IF($E42=0," ",'t12'!I42/$E42)</f>
        <v> </v>
      </c>
      <c r="N42" s="1122" t="str">
        <f>IF($E42=0," ",'t12'!J42/$E42)</f>
        <v> </v>
      </c>
      <c r="O42" s="1120" t="str">
        <f>IF($E42=0," ",'t13'!O42/$E42)</f>
        <v> </v>
      </c>
      <c r="P42" s="1120" t="str">
        <f>IF($E42=0," ",SUM('t13'!C42:H42)/$E42)</f>
        <v> </v>
      </c>
      <c r="Q42" s="1120" t="str">
        <f>IF($E42=0," ",(SUM('t13'!I42:L42)+'t13'!N42)/$E42)</f>
        <v> </v>
      </c>
      <c r="R42" s="1121">
        <f t="shared" si="1"/>
        <v>0</v>
      </c>
      <c r="S42" s="1122" t="str">
        <f>IF($E42=0," ",'t13'!M42/$E42)</f>
        <v> </v>
      </c>
      <c r="U42"/>
      <c r="V42"/>
      <c r="W42"/>
      <c r="X42"/>
    </row>
    <row r="43" spans="1:24" s="116" customFormat="1" ht="11.25">
      <c r="A43" s="147" t="str">
        <f>'t1'!A43</f>
        <v>POSIZIONE ECONOMICA A4</v>
      </c>
      <c r="B43" s="377" t="str">
        <f>'t1'!B43</f>
        <v>028000</v>
      </c>
      <c r="C43" s="1118">
        <f>'t1'!L43+'t1'!M43</f>
        <v>0</v>
      </c>
      <c r="D43" s="1118">
        <f>('t1'!L43+'t1'!M43)-SUM('t3'!C43:F43,'t3'!I43:L43)+SUM('t3'!M43:P43)</f>
        <v>0</v>
      </c>
      <c r="E43" s="1119">
        <f>'t12'!C43/12</f>
        <v>0</v>
      </c>
      <c r="F43" s="1119" t="str">
        <f>IF($D43&gt;0,(('t11'!C45+'t11'!D45)/$D43)," ")</f>
        <v> </v>
      </c>
      <c r="G43" s="1119" t="str">
        <f>IF($D43&gt;0,(SUM('t11'!E45:T45)/$D43)," ")</f>
        <v> </v>
      </c>
      <c r="H43" s="1119" t="str">
        <f>IF($D43&gt;0,(SUM('t11'!U45:X45)/$D43)," ")</f>
        <v> </v>
      </c>
      <c r="I43" s="1120" t="str">
        <f>IF($E43=0," ",('t12'!D43+'t12'!E43+'t12'!H43)/$E43)</f>
        <v> </v>
      </c>
      <c r="J43" s="1120" t="str">
        <f>IF($E43=0," ",'t12'!F43/$E43)</f>
        <v> </v>
      </c>
      <c r="K43" s="1120" t="str">
        <f>IF($E43=0," ",'t12'!G43/$E43)</f>
        <v> </v>
      </c>
      <c r="L43" s="1121">
        <f t="shared" si="0"/>
        <v>0</v>
      </c>
      <c r="M43" s="1122" t="str">
        <f>IF($E43=0," ",'t12'!I43/$E43)</f>
        <v> </v>
      </c>
      <c r="N43" s="1122" t="str">
        <f>IF($E43=0," ",'t12'!J43/$E43)</f>
        <v> </v>
      </c>
      <c r="O43" s="1120" t="str">
        <f>IF($E43=0," ",'t13'!O43/$E43)</f>
        <v> </v>
      </c>
      <c r="P43" s="1120" t="str">
        <f>IF($E43=0," ",SUM('t13'!C43:H43)/$E43)</f>
        <v> </v>
      </c>
      <c r="Q43" s="1120" t="str">
        <f>IF($E43=0," ",(SUM('t13'!I43:L43)+'t13'!N43)/$E43)</f>
        <v> </v>
      </c>
      <c r="R43" s="1121">
        <f t="shared" si="1"/>
        <v>0</v>
      </c>
      <c r="S43" s="1122" t="str">
        <f>IF($E43=0," ",'t13'!M43/$E43)</f>
        <v> </v>
      </c>
      <c r="U43"/>
      <c r="V43"/>
      <c r="W43"/>
      <c r="X43"/>
    </row>
    <row r="44" spans="1:24" s="116" customFormat="1" ht="11.25">
      <c r="A44" s="147" t="str">
        <f>'t1'!A44</f>
        <v>POSIZIONE ECONOMICA A3</v>
      </c>
      <c r="B44" s="377" t="str">
        <f>'t1'!B44</f>
        <v>027000</v>
      </c>
      <c r="C44" s="1118">
        <f>'t1'!L44+'t1'!M44</f>
        <v>0</v>
      </c>
      <c r="D44" s="1118">
        <f>('t1'!L44+'t1'!M44)-SUM('t3'!C44:F44,'t3'!I44:L44)+SUM('t3'!M44:P44)</f>
        <v>0</v>
      </c>
      <c r="E44" s="1119">
        <f>'t12'!C44/12</f>
        <v>0</v>
      </c>
      <c r="F44" s="1119" t="str">
        <f>IF($D44&gt;0,(('t11'!C46+'t11'!D46)/$D44)," ")</f>
        <v> </v>
      </c>
      <c r="G44" s="1119" t="str">
        <f>IF($D44&gt;0,(SUM('t11'!E46:T46)/$D44)," ")</f>
        <v> </v>
      </c>
      <c r="H44" s="1119" t="str">
        <f>IF($D44&gt;0,(SUM('t11'!U46:X46)/$D44)," ")</f>
        <v> </v>
      </c>
      <c r="I44" s="1120" t="str">
        <f>IF($E44=0," ",('t12'!D44+'t12'!E44+'t12'!H44)/$E44)</f>
        <v> </v>
      </c>
      <c r="J44" s="1120" t="str">
        <f>IF($E44=0," ",'t12'!F44/$E44)</f>
        <v> </v>
      </c>
      <c r="K44" s="1120" t="str">
        <f>IF($E44=0," ",'t12'!G44/$E44)</f>
        <v> </v>
      </c>
      <c r="L44" s="1121">
        <f t="shared" si="0"/>
        <v>0</v>
      </c>
      <c r="M44" s="1122" t="str">
        <f>IF($E44=0," ",'t12'!I44/$E44)</f>
        <v> </v>
      </c>
      <c r="N44" s="1122" t="str">
        <f>IF($E44=0," ",'t12'!J44/$E44)</f>
        <v> </v>
      </c>
      <c r="O44" s="1120" t="str">
        <f>IF($E44=0," ",'t13'!O44/$E44)</f>
        <v> </v>
      </c>
      <c r="P44" s="1120" t="str">
        <f>IF($E44=0," ",SUM('t13'!C44:H44)/$E44)</f>
        <v> </v>
      </c>
      <c r="Q44" s="1120" t="str">
        <f>IF($E44=0," ",(SUM('t13'!I44:L44)+'t13'!N44)/$E44)</f>
        <v> </v>
      </c>
      <c r="R44" s="1121">
        <f t="shared" si="1"/>
        <v>0</v>
      </c>
      <c r="S44" s="1122" t="str">
        <f>IF($E44=0," ",'t13'!M44/$E44)</f>
        <v> </v>
      </c>
      <c r="U44"/>
      <c r="V44"/>
      <c r="W44"/>
      <c r="X44"/>
    </row>
    <row r="45" spans="1:24" s="116" customFormat="1" ht="11.25">
      <c r="A45" s="147" t="str">
        <f>'t1'!A45</f>
        <v>POSIZIONE ECONOMICA A2</v>
      </c>
      <c r="B45" s="377" t="str">
        <f>'t1'!B45</f>
        <v>025000</v>
      </c>
      <c r="C45" s="1118">
        <f>'t1'!L45+'t1'!M45</f>
        <v>0</v>
      </c>
      <c r="D45" s="1118">
        <f>('t1'!L45+'t1'!M45)-SUM('t3'!C45:F45,'t3'!I45:L45)+SUM('t3'!M45:P45)</f>
        <v>0</v>
      </c>
      <c r="E45" s="1119">
        <f>'t12'!C45/12</f>
        <v>0</v>
      </c>
      <c r="F45" s="1119" t="str">
        <f>IF($D45&gt;0,(('t11'!C47+'t11'!D47)/$D45)," ")</f>
        <v> </v>
      </c>
      <c r="G45" s="1119" t="str">
        <f>IF($D45&gt;0,(SUM('t11'!E47:T47)/$D45)," ")</f>
        <v> </v>
      </c>
      <c r="H45" s="1119" t="str">
        <f>IF($D45&gt;0,(SUM('t11'!U47:X47)/$D45)," ")</f>
        <v> </v>
      </c>
      <c r="I45" s="1120" t="str">
        <f>IF($E45=0," ",('t12'!D45+'t12'!E45+'t12'!H45)/$E45)</f>
        <v> </v>
      </c>
      <c r="J45" s="1120" t="str">
        <f>IF($E45=0," ",'t12'!F45/$E45)</f>
        <v> </v>
      </c>
      <c r="K45" s="1120" t="str">
        <f>IF($E45=0," ",'t12'!G45/$E45)</f>
        <v> </v>
      </c>
      <c r="L45" s="1121">
        <f t="shared" si="0"/>
        <v>0</v>
      </c>
      <c r="M45" s="1122" t="str">
        <f>IF($E45=0," ",'t12'!I45/$E45)</f>
        <v> </v>
      </c>
      <c r="N45" s="1122" t="str">
        <f>IF($E45=0," ",'t12'!J45/$E45)</f>
        <v> </v>
      </c>
      <c r="O45" s="1120" t="str">
        <f>IF($E45=0," ",'t13'!O45/$E45)</f>
        <v> </v>
      </c>
      <c r="P45" s="1120" t="str">
        <f>IF($E45=0," ",SUM('t13'!C45:H45)/$E45)</f>
        <v> </v>
      </c>
      <c r="Q45" s="1120" t="str">
        <f>IF($E45=0," ",(SUM('t13'!I45:L45)+'t13'!N45)/$E45)</f>
        <v> </v>
      </c>
      <c r="R45" s="1121">
        <f t="shared" si="1"/>
        <v>0</v>
      </c>
      <c r="S45" s="1122" t="str">
        <f>IF($E45=0," ",'t13'!M45/$E45)</f>
        <v> </v>
      </c>
      <c r="U45"/>
      <c r="V45"/>
      <c r="W45"/>
      <c r="X45"/>
    </row>
    <row r="46" spans="1:24" s="116" customFormat="1" ht="11.25">
      <c r="A46" s="147" t="str">
        <f>'t1'!A46</f>
        <v>POSIZIONE ECONOMICA DI ACCESSO A1</v>
      </c>
      <c r="B46" s="377" t="str">
        <f>'t1'!B46</f>
        <v>053000</v>
      </c>
      <c r="C46" s="1118">
        <f>'t1'!L46+'t1'!M46</f>
        <v>1</v>
      </c>
      <c r="D46" s="1118">
        <f>('t1'!L46+'t1'!M46)-SUM('t3'!C46:F46,'t3'!I46:L46)+SUM('t3'!M46:P46)</f>
        <v>1</v>
      </c>
      <c r="E46" s="1119">
        <f>'t12'!C46/12</f>
        <v>1</v>
      </c>
      <c r="F46" s="1119">
        <f>IF($D46&gt;0,(('t11'!C48+'t11'!D48)/$D46)," ")</f>
        <v>18</v>
      </c>
      <c r="G46" s="1119">
        <f>IF($D46&gt;0,(SUM('t11'!E48:T48)/$D46)," ")</f>
        <v>8</v>
      </c>
      <c r="H46" s="1119">
        <f>IF($D46&gt;0,(SUM('t11'!U48:X48)/$D46)," ")</f>
        <v>0</v>
      </c>
      <c r="I46" s="1120">
        <f>IF($E46=0," ",('t12'!D46+'t12'!E46+'t12'!H46)/$E46)</f>
        <v>16039</v>
      </c>
      <c r="J46" s="1120">
        <f>IF($E46=0," ",'t12'!F46/$E46)</f>
        <v>0</v>
      </c>
      <c r="K46" s="1120">
        <f>IF($E46=0," ",'t12'!G46/$E46)</f>
        <v>1463</v>
      </c>
      <c r="L46" s="1121">
        <f t="shared" si="0"/>
        <v>17502</v>
      </c>
      <c r="M46" s="1122">
        <f>IF($E46=0," ",'t12'!I46/$E46)</f>
        <v>0</v>
      </c>
      <c r="N46" s="1122">
        <f>IF($E46=0," ",'t12'!J46/$E46)</f>
        <v>0</v>
      </c>
      <c r="O46" s="1120">
        <f>IF($E46=0," ",'t13'!O46/$E46)</f>
        <v>0</v>
      </c>
      <c r="P46" s="1120">
        <f>IF($E46=0," ",SUM('t13'!C46:H46)/$E46)</f>
        <v>389</v>
      </c>
      <c r="Q46" s="1120">
        <f>IF($E46=0," ",(SUM('t13'!I46:L46)+'t13'!N46)/$E46)</f>
        <v>2310</v>
      </c>
      <c r="R46" s="1121">
        <f t="shared" si="1"/>
        <v>2699</v>
      </c>
      <c r="S46" s="1122">
        <f>IF($E46=0," ",'t13'!M46/$E46)</f>
        <v>3619</v>
      </c>
      <c r="U46"/>
      <c r="V46"/>
      <c r="W46"/>
      <c r="X46"/>
    </row>
    <row r="47" spans="1:24" s="116" customFormat="1" ht="11.25">
      <c r="A47" s="147" t="str">
        <f>'t1'!A47</f>
        <v>CONTRATTISTI (a)</v>
      </c>
      <c r="B47" s="377" t="str">
        <f>'t1'!B47</f>
        <v>000061</v>
      </c>
      <c r="C47" s="1118">
        <f>'t1'!L47+'t1'!M47</f>
        <v>2</v>
      </c>
      <c r="D47" s="1118">
        <f>('t1'!L47+'t1'!M47)-SUM('t3'!C47:F47,'t3'!I47:L47)+SUM('t3'!M47:P47)</f>
        <v>2</v>
      </c>
      <c r="E47" s="1119">
        <f>'t12'!C47/12</f>
        <v>2</v>
      </c>
      <c r="F47" s="1119">
        <f>IF($D47&gt;0,(('t11'!C49+'t11'!D49)/$D47)," ")</f>
        <v>30.5</v>
      </c>
      <c r="G47" s="1119">
        <f>IF($D47&gt;0,(SUM('t11'!E49:T49)/$D47)," ")</f>
        <v>0</v>
      </c>
      <c r="H47" s="1119">
        <f>IF($D47&gt;0,(SUM('t11'!U49:X49)/$D47)," ")</f>
        <v>0</v>
      </c>
      <c r="I47" s="1120">
        <f>IF($E47=0," ",('t12'!D47+'t12'!E47+'t12'!H47)/$E47)</f>
        <v>36086</v>
      </c>
      <c r="J47" s="1120">
        <f>IF($E47=0," ",'t12'!F47/$E47)</f>
        <v>3620</v>
      </c>
      <c r="K47" s="1120">
        <f>IF($E47=0," ",'t12'!G47/$E47)</f>
        <v>4561.5</v>
      </c>
      <c r="L47" s="1121">
        <f t="shared" si="0"/>
        <v>44267.5</v>
      </c>
      <c r="M47" s="1122">
        <f>IF($E47=0," ",'t12'!I47/$E47)</f>
        <v>0</v>
      </c>
      <c r="N47" s="1122">
        <f>IF($E47=0," ",'t12'!J47/$E47)</f>
        <v>0</v>
      </c>
      <c r="O47" s="1120">
        <f>IF($E47=0," ",'t13'!O47/$E47)</f>
        <v>0</v>
      </c>
      <c r="P47" s="1120">
        <f>IF($E47=0," ",SUM('t13'!C47:H47)/$E47)</f>
        <v>0</v>
      </c>
      <c r="Q47" s="1120">
        <f>IF($E47=0," ",(SUM('t13'!I47:L47)+'t13'!N47)/$E47)</f>
        <v>9775.5</v>
      </c>
      <c r="R47" s="1121">
        <f t="shared" si="1"/>
        <v>9775.5</v>
      </c>
      <c r="S47" s="1122">
        <f>IF($E47=0," ",'t13'!M47/$E47)</f>
        <v>0</v>
      </c>
      <c r="U47"/>
      <c r="V47"/>
      <c r="W47"/>
      <c r="X47"/>
    </row>
    <row r="48" spans="1:24" s="116" customFormat="1" ht="11.25">
      <c r="A48" s="147" t="str">
        <f>'t1'!A48</f>
        <v>COLLABORATORE A TEMPO DETERMIN. (b)</v>
      </c>
      <c r="B48" s="377" t="str">
        <f>'t1'!B48</f>
        <v>000096</v>
      </c>
      <c r="C48" s="1118">
        <f>'t1'!L48+'t1'!M48</f>
        <v>0</v>
      </c>
      <c r="D48" s="1118">
        <f>('t1'!L48+'t1'!M48)-SUM('t3'!C48:F48,'t3'!I48:L48)+SUM('t3'!M48:P48)</f>
        <v>0</v>
      </c>
      <c r="E48" s="1119">
        <f>'t12'!C48/12</f>
        <v>0</v>
      </c>
      <c r="F48" s="1119" t="str">
        <f>IF($D48&gt;0,(('t11'!C50+'t11'!D50)/$D48)," ")</f>
        <v> </v>
      </c>
      <c r="G48" s="1119" t="str">
        <f>IF($D48&gt;0,(SUM('t11'!E50:T50)/$D48)," ")</f>
        <v> </v>
      </c>
      <c r="H48" s="1119" t="str">
        <f>IF($D48&gt;0,(SUM('t11'!U50:X50)/$D48)," ")</f>
        <v> </v>
      </c>
      <c r="I48" s="1120" t="str">
        <f>IF($E48=0," ",('t12'!D48+'t12'!E48+'t12'!H48)/$E48)</f>
        <v> </v>
      </c>
      <c r="J48" s="1120" t="str">
        <f>IF($E48=0," ",'t12'!F48/$E48)</f>
        <v> </v>
      </c>
      <c r="K48" s="1120" t="str">
        <f>IF($E48=0," ",'t12'!G48/$E48)</f>
        <v> </v>
      </c>
      <c r="L48" s="1121">
        <f t="shared" si="0"/>
        <v>0</v>
      </c>
      <c r="M48" s="1122" t="str">
        <f>IF($E48=0," ",'t12'!I48/$E48)</f>
        <v> </v>
      </c>
      <c r="N48" s="1122" t="str">
        <f>IF($E48=0," ",'t12'!J48/$E48)</f>
        <v> </v>
      </c>
      <c r="O48" s="1120" t="str">
        <f>IF($E48=0," ",'t13'!O48/$E48)</f>
        <v> </v>
      </c>
      <c r="P48" s="1120" t="str">
        <f>IF($E48=0," ",SUM('t13'!C48:H48)/$E48)</f>
        <v> </v>
      </c>
      <c r="Q48" s="1120" t="str">
        <f>IF($E48=0," ",(SUM('t13'!I48:L48)+'t13'!N48)/$E48)</f>
        <v> </v>
      </c>
      <c r="R48" s="1121">
        <f t="shared" si="1"/>
        <v>0</v>
      </c>
      <c r="S48" s="1122" t="str">
        <f>IF($E48=0," ",'t13'!M48/$E48)</f>
        <v> </v>
      </c>
      <c r="U48"/>
      <c r="V48"/>
      <c r="W48"/>
      <c r="X48"/>
    </row>
    <row r="50" ht="11.25">
      <c r="A50" s="5" t="str">
        <f>"(*) Personale presente al 31/12/"&amp;'t1'!M1&amp;" di T1 - personale dell'amministrazione comandato/distaccato, fuori ruolo e in esonero di T3 + personale esterno comandato/distaccato e fuori ruolo di T3"</f>
        <v>(*) Personale presente al 31/12/2009 di T1 - personale dell'amministrazione comandato/distaccato, fuori ruolo e in esonero di T3 + personale esterno comandato/distaccato e fuori ruolo di T3</v>
      </c>
    </row>
  </sheetData>
  <sheetProtection password="EA98" sheet="1" formatColumns="0" selectLockedCells="1" selectUnlockedCells="1"/>
  <mergeCells count="4">
    <mergeCell ref="A1:I1"/>
    <mergeCell ref="F4:H4"/>
    <mergeCell ref="I4:N4"/>
    <mergeCell ref="O4:S4"/>
  </mergeCells>
  <printOptions horizontalCentered="1" verticalCentered="1"/>
  <pageMargins left="0.1968503937007874" right="0.1968503937007874" top="0.1968503937007874" bottom="0.15748031496062992" header="0.15748031496062992" footer="0.15748031496062992"/>
  <pageSetup horizontalDpi="600" verticalDpi="6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2">
    <pageSetUpPr fitToPage="1"/>
  </sheetPr>
  <dimension ref="A1:T72"/>
  <sheetViews>
    <sheetView showGridLines="0" zoomScalePageLayoutView="0" workbookViewId="0" topLeftCell="A1">
      <pane ySplit="5" topLeftCell="A9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7.8320312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373"/>
      <c r="J1" s="370"/>
      <c r="K1" s="3"/>
      <c r="M1"/>
    </row>
    <row r="2" spans="2:13" ht="21" customHeight="1">
      <c r="B2" s="5"/>
      <c r="C2" s="5"/>
      <c r="D2" s="1496"/>
      <c r="E2" s="1496"/>
      <c r="F2" s="1496"/>
      <c r="G2" s="1496"/>
      <c r="H2" s="1496"/>
      <c r="I2" s="1496"/>
      <c r="J2" s="1496"/>
      <c r="K2" s="3"/>
      <c r="M2"/>
    </row>
    <row r="3" spans="1:2" s="215" customFormat="1" ht="21" customHeight="1">
      <c r="A3" s="215" t="str">
        <f>"Tavola di coerenza tra presenti al 31.12."&amp;'t1'!M1&amp;" e presenti al 31.12."&amp;'t1'!M1-1&amp;" (Squadratura 1)"</f>
        <v>Tavola di coerenza tra presenti al 31.12.2009 e presenti al 31.12.2008 (Squadratura 1)</v>
      </c>
      <c r="B3" s="372"/>
    </row>
    <row r="4" spans="1:10" ht="36.75" customHeight="1">
      <c r="A4" s="196" t="s">
        <v>213</v>
      </c>
      <c r="B4" s="197" t="s">
        <v>212</v>
      </c>
      <c r="C4" s="197" t="str">
        <f>"Presenti 31.12."&amp;'t1'!M1-1&amp;" (Tab 1)"</f>
        <v>Presenti 31.12.2008 (Tab 1)</v>
      </c>
      <c r="D4" s="197" t="s">
        <v>205</v>
      </c>
      <c r="E4" s="197" t="s">
        <v>262</v>
      </c>
      <c r="F4" s="197" t="s">
        <v>207</v>
      </c>
      <c r="G4" s="197" t="s">
        <v>206</v>
      </c>
      <c r="H4" s="197" t="str">
        <f>"Presenti 31.12."&amp;'t1'!M1&amp;" (Calcolati)"</f>
        <v>Presenti 31.12.2009 (Calcolati)</v>
      </c>
      <c r="I4" s="197" t="str">
        <f>"Presenti 31.12."&amp;'t1'!M1&amp;" (Tab 1)"</f>
        <v>Presenti 31.12.2009 (Tab 1)</v>
      </c>
      <c r="J4" s="197" t="s">
        <v>222</v>
      </c>
    </row>
    <row r="5" spans="1:10" ht="11.25">
      <c r="A5" s="203"/>
      <c r="B5" s="197"/>
      <c r="C5" s="204" t="s">
        <v>214</v>
      </c>
      <c r="D5" s="204" t="s">
        <v>215</v>
      </c>
      <c r="E5" s="204" t="s">
        <v>216</v>
      </c>
      <c r="F5" s="204" t="s">
        <v>217</v>
      </c>
      <c r="G5" s="204" t="s">
        <v>218</v>
      </c>
      <c r="H5" s="204" t="s">
        <v>219</v>
      </c>
      <c r="I5" s="204" t="s">
        <v>220</v>
      </c>
      <c r="J5" s="204" t="s">
        <v>221</v>
      </c>
    </row>
    <row r="6" spans="1:10" ht="13.5" customHeight="1">
      <c r="A6" s="24" t="str">
        <f>'t1'!A6</f>
        <v>SEGRETARIO A</v>
      </c>
      <c r="B6" s="205" t="str">
        <f>'t1'!B6</f>
        <v>0D0102</v>
      </c>
      <c r="C6" s="400">
        <f>'t1'!C6+'t1'!D6</f>
        <v>1</v>
      </c>
      <c r="D6" s="400">
        <f>'t5'!Q7+'t5'!R7</f>
        <v>0</v>
      </c>
      <c r="E6" s="401">
        <f>'t6'!S7+'t6'!T7</f>
        <v>0</v>
      </c>
      <c r="F6" s="401">
        <f>'t4'!AT6</f>
        <v>0</v>
      </c>
      <c r="G6" s="401">
        <f>'t4'!C49</f>
        <v>1</v>
      </c>
      <c r="H6" s="401">
        <f>C6-D6+E6-F6+G6</f>
        <v>2</v>
      </c>
      <c r="I6" s="401">
        <f>'t1'!L6+'t1'!M6</f>
        <v>1</v>
      </c>
      <c r="J6" s="109" t="str">
        <f>IF(H6=I6,"OK","ERRORE")</f>
        <v>ERRORE</v>
      </c>
    </row>
    <row r="7" spans="1:10" ht="13.5" customHeight="1">
      <c r="A7" s="24" t="str">
        <f>'t1'!A7</f>
        <v>SEGRETARIO B</v>
      </c>
      <c r="B7" s="205" t="str">
        <f>'t1'!B7</f>
        <v>0D0103</v>
      </c>
      <c r="C7" s="400">
        <f>'t1'!C7+'t1'!D7</f>
        <v>0</v>
      </c>
      <c r="D7" s="400">
        <f>'t5'!Q8+'t5'!R8</f>
        <v>0</v>
      </c>
      <c r="E7" s="401">
        <f>'t6'!S8+'t6'!T8</f>
        <v>0</v>
      </c>
      <c r="F7" s="401">
        <f>'t4'!AT7</f>
        <v>0</v>
      </c>
      <c r="G7" s="401">
        <f>'t4'!D49</f>
        <v>0</v>
      </c>
      <c r="H7" s="401">
        <f aca="true" t="shared" si="0" ref="H7:H40">C7-D7+E7-F7+G7</f>
        <v>0</v>
      </c>
      <c r="I7" s="401">
        <f>'t1'!L7+'t1'!M7</f>
        <v>0</v>
      </c>
      <c r="J7" s="109" t="str">
        <f aca="true" t="shared" si="1" ref="J7:J49">IF(H7=I7,"OK","ERRORE")</f>
        <v>OK</v>
      </c>
    </row>
    <row r="8" spans="1:10" ht="13.5" customHeight="1">
      <c r="A8" s="24" t="str">
        <f>'t1'!A8</f>
        <v>SEGRETARIO C</v>
      </c>
      <c r="B8" s="205" t="str">
        <f>'t1'!B8</f>
        <v>0D0485</v>
      </c>
      <c r="C8" s="400">
        <f>'t1'!C8+'t1'!D8</f>
        <v>0</v>
      </c>
      <c r="D8" s="400">
        <f>'t5'!Q9+'t5'!R9</f>
        <v>0</v>
      </c>
      <c r="E8" s="401">
        <f>'t6'!S9+'t6'!T9</f>
        <v>0</v>
      </c>
      <c r="F8" s="401">
        <f>'t4'!AT8</f>
        <v>0</v>
      </c>
      <c r="G8" s="401">
        <f>'t4'!E49</f>
        <v>0</v>
      </c>
      <c r="H8" s="401">
        <f t="shared" si="0"/>
        <v>0</v>
      </c>
      <c r="I8" s="401">
        <f>'t1'!L8+'t1'!M8</f>
        <v>0</v>
      </c>
      <c r="J8" s="109" t="str">
        <f t="shared" si="1"/>
        <v>OK</v>
      </c>
    </row>
    <row r="9" spans="1:10" ht="13.5" customHeight="1">
      <c r="A9" s="24" t="str">
        <f>'t1'!A9</f>
        <v>SEGRETARIO GENERALE CCIAA</v>
      </c>
      <c r="B9" s="205" t="str">
        <f>'t1'!B9</f>
        <v>0D0104</v>
      </c>
      <c r="C9" s="400">
        <f>'t1'!C9+'t1'!D9</f>
        <v>0</v>
      </c>
      <c r="D9" s="400">
        <f>'t5'!Q10+'t5'!R10</f>
        <v>0</v>
      </c>
      <c r="E9" s="401">
        <f>'t6'!S10+'t6'!T10</f>
        <v>0</v>
      </c>
      <c r="F9" s="401">
        <f>'t4'!AT9</f>
        <v>0</v>
      </c>
      <c r="G9" s="401">
        <f>'t4'!F49</f>
        <v>0</v>
      </c>
      <c r="H9" s="401">
        <f t="shared" si="0"/>
        <v>0</v>
      </c>
      <c r="I9" s="401">
        <f>'t1'!L9+'t1'!M9</f>
        <v>0</v>
      </c>
      <c r="J9" s="109" t="str">
        <f t="shared" si="1"/>
        <v>OK</v>
      </c>
    </row>
    <row r="10" spans="1:10" ht="13.5" customHeight="1">
      <c r="A10" s="24" t="str">
        <f>'t1'!A10</f>
        <v>DIRETTORE  GENERALE</v>
      </c>
      <c r="B10" s="205" t="str">
        <f>'t1'!B10</f>
        <v>0D0097</v>
      </c>
      <c r="C10" s="400">
        <f>'t1'!C10+'t1'!D10</f>
        <v>0</v>
      </c>
      <c r="D10" s="400">
        <f>'t5'!Q11+'t5'!R11</f>
        <v>0</v>
      </c>
      <c r="E10" s="401">
        <f>'t6'!S11+'t6'!T11</f>
        <v>0</v>
      </c>
      <c r="F10" s="401">
        <f>'t4'!AT10</f>
        <v>0</v>
      </c>
      <c r="G10" s="401">
        <f>'t4'!G49</f>
        <v>0</v>
      </c>
      <c r="H10" s="401">
        <f t="shared" si="0"/>
        <v>0</v>
      </c>
      <c r="I10" s="401">
        <f>'t1'!L10+'t1'!M10</f>
        <v>0</v>
      </c>
      <c r="J10" s="109" t="str">
        <f t="shared" si="1"/>
        <v>OK</v>
      </c>
    </row>
    <row r="11" spans="1:10" ht="13.5" customHeight="1">
      <c r="A11" s="24" t="str">
        <f>'t1'!A11</f>
        <v>DIRIGENTE FUORI D.O.</v>
      </c>
      <c r="B11" s="205" t="str">
        <f>'t1'!B11</f>
        <v>0D0098</v>
      </c>
      <c r="C11" s="400">
        <f>'t1'!C11+'t1'!D11</f>
        <v>0</v>
      </c>
      <c r="D11" s="400">
        <f>'t5'!Q12+'t5'!R12</f>
        <v>0</v>
      </c>
      <c r="E11" s="401">
        <f>'t6'!S12+'t6'!T12</f>
        <v>0</v>
      </c>
      <c r="F11" s="401">
        <f>'t4'!AT11</f>
        <v>0</v>
      </c>
      <c r="G11" s="401">
        <f>'t4'!H49</f>
        <v>0</v>
      </c>
      <c r="H11" s="401">
        <f t="shared" si="0"/>
        <v>0</v>
      </c>
      <c r="I11" s="401">
        <f>'t1'!L11+'t1'!M11</f>
        <v>0</v>
      </c>
      <c r="J11" s="109" t="str">
        <f t="shared" si="1"/>
        <v>OK</v>
      </c>
    </row>
    <row r="12" spans="1:10" ht="13.5" customHeight="1">
      <c r="A12" s="24" t="str">
        <f>'t1'!A12</f>
        <v>ALTE SPECIALIZZ. FUORI D.O.</v>
      </c>
      <c r="B12" s="205" t="str">
        <f>'t1'!B12</f>
        <v>0D0095</v>
      </c>
      <c r="C12" s="400">
        <f>'t1'!C12+'t1'!D12</f>
        <v>0</v>
      </c>
      <c r="D12" s="400">
        <f>'t5'!Q13+'t5'!R13</f>
        <v>0</v>
      </c>
      <c r="E12" s="401">
        <f>'t6'!S13+'t6'!T13</f>
        <v>0</v>
      </c>
      <c r="F12" s="401">
        <f>'t4'!AT12</f>
        <v>0</v>
      </c>
      <c r="G12" s="401">
        <f>'t4'!I49</f>
        <v>0</v>
      </c>
      <c r="H12" s="401">
        <f t="shared" si="0"/>
        <v>0</v>
      </c>
      <c r="I12" s="401">
        <f>'t1'!L12+'t1'!M12</f>
        <v>0</v>
      </c>
      <c r="J12" s="109" t="str">
        <f t="shared" si="1"/>
        <v>OK</v>
      </c>
    </row>
    <row r="13" spans="1:10" ht="13.5" customHeight="1">
      <c r="A13" s="24" t="str">
        <f>'t1'!A13</f>
        <v>QUALIFICA DIRIGENZIALE TEMPO INDET.</v>
      </c>
      <c r="B13" s="205" t="str">
        <f>'t1'!B13</f>
        <v>0D0100</v>
      </c>
      <c r="C13" s="400">
        <f>'t1'!C13+'t1'!D13</f>
        <v>2</v>
      </c>
      <c r="D13" s="400">
        <f>'t5'!Q14+'t5'!R14</f>
        <v>1</v>
      </c>
      <c r="E13" s="401">
        <f>'t6'!S14+'t6'!T14</f>
        <v>0</v>
      </c>
      <c r="F13" s="401">
        <f>'t4'!AT13</f>
        <v>0</v>
      </c>
      <c r="G13" s="401">
        <f>'t4'!J49</f>
        <v>0</v>
      </c>
      <c r="H13" s="401">
        <f t="shared" si="0"/>
        <v>1</v>
      </c>
      <c r="I13" s="401">
        <f>'t1'!L13+'t1'!M13</f>
        <v>1</v>
      </c>
      <c r="J13" s="109" t="str">
        <f t="shared" si="1"/>
        <v>OK</v>
      </c>
    </row>
    <row r="14" spans="1:10" ht="13.5" customHeight="1">
      <c r="A14" s="24" t="str">
        <f>'t1'!A14</f>
        <v>QUALIFICA DIRIGENZIALE TEMPO DETER.</v>
      </c>
      <c r="B14" s="205" t="str">
        <f>'t1'!B14</f>
        <v>0D0099</v>
      </c>
      <c r="C14" s="400">
        <f>'t1'!C14+'t1'!D14</f>
        <v>0</v>
      </c>
      <c r="D14" s="400">
        <f>'t5'!Q15+'t5'!R15</f>
        <v>0</v>
      </c>
      <c r="E14" s="401">
        <f>'t6'!S15+'t6'!T15</f>
        <v>10</v>
      </c>
      <c r="F14" s="401">
        <f>'t4'!AT14</f>
        <v>0</v>
      </c>
      <c r="G14" s="401">
        <f>'t4'!K49</f>
        <v>0</v>
      </c>
      <c r="H14" s="401">
        <f t="shared" si="0"/>
        <v>10</v>
      </c>
      <c r="I14" s="401">
        <f>'t1'!L14+'t1'!M14</f>
        <v>10</v>
      </c>
      <c r="J14" s="109" t="str">
        <f t="shared" si="1"/>
        <v>OK</v>
      </c>
    </row>
    <row r="15" spans="1:10" ht="13.5" customHeight="1">
      <c r="A15" s="24" t="str">
        <f>'t1'!A15</f>
        <v>POSIZ. ECON. D6 - PROFILI ACCESSO D3</v>
      </c>
      <c r="B15" s="205" t="str">
        <f>'t1'!B15</f>
        <v>0D6A00</v>
      </c>
      <c r="C15" s="400">
        <f>'t1'!C15+'t1'!D15</f>
        <v>9</v>
      </c>
      <c r="D15" s="400">
        <f>'t5'!Q16+'t5'!R16</f>
        <v>1</v>
      </c>
      <c r="E15" s="401">
        <f>'t6'!S16+'t6'!T16</f>
        <v>0</v>
      </c>
      <c r="F15" s="401">
        <f>'t4'!AT15</f>
        <v>0</v>
      </c>
      <c r="G15" s="401">
        <f>'t4'!L49</f>
        <v>0</v>
      </c>
      <c r="H15" s="401">
        <f t="shared" si="0"/>
        <v>8</v>
      </c>
      <c r="I15" s="401">
        <f>'t1'!L15+'t1'!M15</f>
        <v>8</v>
      </c>
      <c r="J15" s="109" t="str">
        <f t="shared" si="1"/>
        <v>OK</v>
      </c>
    </row>
    <row r="16" spans="1:10" ht="13.5" customHeight="1">
      <c r="A16" s="24" t="str">
        <f>'t1'!A16</f>
        <v>POSIZ. ECON. D6 - PROFILO ACCESSO D1</v>
      </c>
      <c r="B16" s="205" t="str">
        <f>'t1'!B16</f>
        <v>0D6000</v>
      </c>
      <c r="C16" s="400">
        <f>'t1'!C16+'t1'!D16</f>
        <v>0</v>
      </c>
      <c r="D16" s="400">
        <f>'t5'!Q17+'t5'!R17</f>
        <v>0</v>
      </c>
      <c r="E16" s="401">
        <f>'t6'!S17+'t6'!T17</f>
        <v>0</v>
      </c>
      <c r="F16" s="401">
        <f>'t4'!AT16</f>
        <v>0</v>
      </c>
      <c r="G16" s="401">
        <f>'t4'!M49</f>
        <v>0</v>
      </c>
      <c r="H16" s="401">
        <f t="shared" si="0"/>
        <v>0</v>
      </c>
      <c r="I16" s="401">
        <f>'t1'!L16+'t1'!M16</f>
        <v>0</v>
      </c>
      <c r="J16" s="109" t="str">
        <f t="shared" si="1"/>
        <v>OK</v>
      </c>
    </row>
    <row r="17" spans="1:10" ht="13.5" customHeight="1">
      <c r="A17" s="24" t="str">
        <f>'t1'!A17</f>
        <v>POSIZ.ECON. D5 PROFILI ACCESSO D3</v>
      </c>
      <c r="B17" s="205" t="str">
        <f>'t1'!B17</f>
        <v>052486</v>
      </c>
      <c r="C17" s="400">
        <f>'t1'!C17+'t1'!D17</f>
        <v>13</v>
      </c>
      <c r="D17" s="400">
        <f>'t5'!Q18+'t5'!R18</f>
        <v>5</v>
      </c>
      <c r="E17" s="401">
        <f>'t6'!S18+'t6'!T18</f>
        <v>0</v>
      </c>
      <c r="F17" s="401">
        <f>'t4'!AT17</f>
        <v>0</v>
      </c>
      <c r="G17" s="401">
        <f>'t4'!N49</f>
        <v>0</v>
      </c>
      <c r="H17" s="401">
        <f t="shared" si="0"/>
        <v>8</v>
      </c>
      <c r="I17" s="401">
        <f>'t1'!L17+'t1'!M17</f>
        <v>8</v>
      </c>
      <c r="J17" s="109" t="str">
        <f t="shared" si="1"/>
        <v>OK</v>
      </c>
    </row>
    <row r="18" spans="1:10" ht="13.5" customHeight="1">
      <c r="A18" s="24" t="str">
        <f>'t1'!A18</f>
        <v>POSIZ.ECON. D5 PROFILI ACCESSO D1</v>
      </c>
      <c r="B18" s="205" t="str">
        <f>'t1'!B18</f>
        <v>052487</v>
      </c>
      <c r="C18" s="400">
        <f>'t1'!C18+'t1'!D18</f>
        <v>1</v>
      </c>
      <c r="D18" s="400">
        <f>'t5'!Q19+'t5'!R19</f>
        <v>0</v>
      </c>
      <c r="E18" s="401">
        <f>'t6'!S19+'t6'!T19</f>
        <v>0</v>
      </c>
      <c r="F18" s="401">
        <f>'t4'!AT18</f>
        <v>0</v>
      </c>
      <c r="G18" s="401">
        <f>'t4'!O49</f>
        <v>0</v>
      </c>
      <c r="H18" s="401">
        <f t="shared" si="0"/>
        <v>1</v>
      </c>
      <c r="I18" s="401">
        <f>'t1'!L18+'t1'!M18</f>
        <v>1</v>
      </c>
      <c r="J18" s="109" t="str">
        <f t="shared" si="1"/>
        <v>OK</v>
      </c>
    </row>
    <row r="19" spans="1:10" ht="13.5" customHeight="1">
      <c r="A19" s="24" t="str">
        <f>'t1'!A19</f>
        <v>POSIZ.ECON. D4 PROFILI ACCESSO D3</v>
      </c>
      <c r="B19" s="205" t="str">
        <f>'t1'!B19</f>
        <v>051488</v>
      </c>
      <c r="C19" s="400">
        <f>'t1'!C19+'t1'!D19</f>
        <v>17</v>
      </c>
      <c r="D19" s="400">
        <f>'t5'!Q20+'t5'!R20</f>
        <v>3</v>
      </c>
      <c r="E19" s="401">
        <f>'t6'!S20+'t6'!T20</f>
        <v>0</v>
      </c>
      <c r="F19" s="401">
        <f>'t4'!AT19</f>
        <v>0</v>
      </c>
      <c r="G19" s="401">
        <f>'t4'!P49</f>
        <v>0</v>
      </c>
      <c r="H19" s="401">
        <f t="shared" si="0"/>
        <v>14</v>
      </c>
      <c r="I19" s="401">
        <f>'t1'!L19+'t1'!M19</f>
        <v>14</v>
      </c>
      <c r="J19" s="109" t="str">
        <f t="shared" si="1"/>
        <v>OK</v>
      </c>
    </row>
    <row r="20" spans="1:10" ht="13.5" customHeight="1">
      <c r="A20" s="24" t="str">
        <f>'t1'!A20</f>
        <v>POSIZ.ECON. D4 PROFILI ACCESSO D1</v>
      </c>
      <c r="B20" s="205" t="str">
        <f>'t1'!B20</f>
        <v>051489</v>
      </c>
      <c r="C20" s="400">
        <f>'t1'!C20+'t1'!D20</f>
        <v>3</v>
      </c>
      <c r="D20" s="400">
        <f>'t5'!Q21+'t5'!R21</f>
        <v>0</v>
      </c>
      <c r="E20" s="401">
        <f>'t6'!S21+'t6'!T21</f>
        <v>0</v>
      </c>
      <c r="F20" s="401">
        <f>'t4'!AT20</f>
        <v>0</v>
      </c>
      <c r="G20" s="401">
        <f>'t4'!Q49</f>
        <v>0</v>
      </c>
      <c r="H20" s="401">
        <f t="shared" si="0"/>
        <v>3</v>
      </c>
      <c r="I20" s="401">
        <f>'t1'!L20+'t1'!M20</f>
        <v>3</v>
      </c>
      <c r="J20" s="109" t="str">
        <f t="shared" si="1"/>
        <v>OK</v>
      </c>
    </row>
    <row r="21" spans="1:10" ht="13.5" customHeight="1">
      <c r="A21" s="24" t="str">
        <f>'t1'!A21</f>
        <v>POSIZIONE ECONOMICA DI ACCESSO D3</v>
      </c>
      <c r="B21" s="205" t="str">
        <f>'t1'!B21</f>
        <v>058000</v>
      </c>
      <c r="C21" s="400">
        <f>'t1'!C21+'t1'!D21</f>
        <v>3</v>
      </c>
      <c r="D21" s="400">
        <f>'t5'!Q22+'t5'!R22</f>
        <v>1</v>
      </c>
      <c r="E21" s="401">
        <f>'t6'!S22+'t6'!T22</f>
        <v>0</v>
      </c>
      <c r="F21" s="401">
        <f>'t4'!AT21</f>
        <v>0</v>
      </c>
      <c r="G21" s="401">
        <f>'t4'!R49</f>
        <v>0</v>
      </c>
      <c r="H21" s="401">
        <f t="shared" si="0"/>
        <v>2</v>
      </c>
      <c r="I21" s="401">
        <f>'t1'!L21+'t1'!M21</f>
        <v>2</v>
      </c>
      <c r="J21" s="109" t="str">
        <f t="shared" si="1"/>
        <v>OK</v>
      </c>
    </row>
    <row r="22" spans="1:10" ht="13.5" customHeight="1">
      <c r="A22" s="24" t="str">
        <f>'t1'!A22</f>
        <v>POSIZIONE ECONOMICA D3</v>
      </c>
      <c r="B22" s="205" t="str">
        <f>'t1'!B22</f>
        <v>050000</v>
      </c>
      <c r="C22" s="400">
        <f>'t1'!C22+'t1'!D22</f>
        <v>12</v>
      </c>
      <c r="D22" s="400">
        <f>'t5'!Q23+'t5'!R23</f>
        <v>0</v>
      </c>
      <c r="E22" s="401">
        <f>'t6'!S23+'t6'!T23</f>
        <v>0</v>
      </c>
      <c r="F22" s="401">
        <f>'t4'!AT22</f>
        <v>0</v>
      </c>
      <c r="G22" s="401">
        <f>'t4'!S49</f>
        <v>0</v>
      </c>
      <c r="H22" s="401">
        <f t="shared" si="0"/>
        <v>12</v>
      </c>
      <c r="I22" s="401">
        <f>'t1'!L22+'t1'!M22</f>
        <v>12</v>
      </c>
      <c r="J22" s="109" t="str">
        <f t="shared" si="1"/>
        <v>OK</v>
      </c>
    </row>
    <row r="23" spans="1:10" ht="13.5" customHeight="1">
      <c r="A23" s="24" t="str">
        <f>'t1'!A23</f>
        <v>POSIZIONE ECONOMICA D2</v>
      </c>
      <c r="B23" s="205" t="str">
        <f>'t1'!B23</f>
        <v>049000</v>
      </c>
      <c r="C23" s="400">
        <f>'t1'!C23+'t1'!D23</f>
        <v>40</v>
      </c>
      <c r="D23" s="400">
        <f>'t5'!Q24+'t5'!R24</f>
        <v>0</v>
      </c>
      <c r="E23" s="401">
        <f>'t6'!S24+'t6'!T24</f>
        <v>0</v>
      </c>
      <c r="F23" s="401">
        <f>'t4'!AT23</f>
        <v>0</v>
      </c>
      <c r="G23" s="401">
        <f>'t4'!T49</f>
        <v>0</v>
      </c>
      <c r="H23" s="401">
        <f t="shared" si="0"/>
        <v>40</v>
      </c>
      <c r="I23" s="401">
        <f>'t1'!L23+'t1'!M23</f>
        <v>40</v>
      </c>
      <c r="J23" s="109" t="str">
        <f t="shared" si="1"/>
        <v>OK</v>
      </c>
    </row>
    <row r="24" spans="1:10" ht="13.5" customHeight="1">
      <c r="A24" s="24" t="str">
        <f>'t1'!A24</f>
        <v>POSIZIONE ECONOMICA DI ACCESSO D1</v>
      </c>
      <c r="B24" s="205" t="str">
        <f>'t1'!B24</f>
        <v>057000</v>
      </c>
      <c r="C24" s="400">
        <f>'t1'!C24+'t1'!D24</f>
        <v>3</v>
      </c>
      <c r="D24" s="400">
        <f>'t5'!Q25+'t5'!R25</f>
        <v>0</v>
      </c>
      <c r="E24" s="401">
        <f>'t6'!S25+'t6'!T25</f>
        <v>0</v>
      </c>
      <c r="F24" s="401">
        <f>'t4'!AT24</f>
        <v>0</v>
      </c>
      <c r="G24" s="401">
        <f>'t4'!U49</f>
        <v>0</v>
      </c>
      <c r="H24" s="401">
        <f t="shared" si="0"/>
        <v>3</v>
      </c>
      <c r="I24" s="401">
        <f>'t1'!L24+'t1'!M24</f>
        <v>3</v>
      </c>
      <c r="J24" s="109" t="str">
        <f t="shared" si="1"/>
        <v>OK</v>
      </c>
    </row>
    <row r="25" spans="1:10" ht="13.5" customHeight="1">
      <c r="A25" s="24" t="str">
        <f>'t1'!A25</f>
        <v>POSIZIONE ECONOMICA C5</v>
      </c>
      <c r="B25" s="205" t="str">
        <f>'t1'!B25</f>
        <v>046000</v>
      </c>
      <c r="C25" s="400">
        <f>'t1'!C25+'t1'!D25</f>
        <v>5</v>
      </c>
      <c r="D25" s="400">
        <f>'t5'!Q26+'t5'!R26</f>
        <v>1</v>
      </c>
      <c r="E25" s="401">
        <f>'t6'!S26+'t6'!T26</f>
        <v>0</v>
      </c>
      <c r="F25" s="401">
        <f>'t4'!AT25</f>
        <v>0</v>
      </c>
      <c r="G25" s="401">
        <f>'t4'!V49</f>
        <v>0</v>
      </c>
      <c r="H25" s="401">
        <f t="shared" si="0"/>
        <v>4</v>
      </c>
      <c r="I25" s="401">
        <f>'t1'!L25+'t1'!M25</f>
        <v>4</v>
      </c>
      <c r="J25" s="109" t="str">
        <f t="shared" si="1"/>
        <v>OK</v>
      </c>
    </row>
    <row r="26" spans="1:10" ht="13.5" customHeight="1">
      <c r="A26" s="24" t="str">
        <f>'t1'!A26</f>
        <v>POSIZIONE ECONOMICA C4</v>
      </c>
      <c r="B26" s="205" t="str">
        <f>'t1'!B26</f>
        <v>045000</v>
      </c>
      <c r="C26" s="400">
        <f>'t1'!C26+'t1'!D26</f>
        <v>20</v>
      </c>
      <c r="D26" s="400">
        <f>'t5'!Q27+'t5'!R27</f>
        <v>0</v>
      </c>
      <c r="E26" s="401">
        <f>'t6'!S27+'t6'!T27</f>
        <v>0</v>
      </c>
      <c r="F26" s="401">
        <f>'t4'!AT26</f>
        <v>0</v>
      </c>
      <c r="G26" s="401">
        <f>'t4'!W49</f>
        <v>0</v>
      </c>
      <c r="H26" s="401">
        <f t="shared" si="0"/>
        <v>20</v>
      </c>
      <c r="I26" s="401">
        <f>'t1'!L26+'t1'!M26</f>
        <v>20</v>
      </c>
      <c r="J26" s="109" t="str">
        <f t="shared" si="1"/>
        <v>OK</v>
      </c>
    </row>
    <row r="27" spans="1:10" ht="13.5" customHeight="1">
      <c r="A27" s="24" t="str">
        <f>'t1'!A27</f>
        <v>POSIZIONE ECONOMICA C3</v>
      </c>
      <c r="B27" s="205" t="str">
        <f>'t1'!B27</f>
        <v>043000</v>
      </c>
      <c r="C27" s="400">
        <f>'t1'!C27+'t1'!D27</f>
        <v>31</v>
      </c>
      <c r="D27" s="400">
        <f>'t5'!Q28+'t5'!R28</f>
        <v>0</v>
      </c>
      <c r="E27" s="401">
        <f>'t6'!S28+'t6'!T28</f>
        <v>0</v>
      </c>
      <c r="F27" s="401">
        <f>'t4'!AT27</f>
        <v>0</v>
      </c>
      <c r="G27" s="401">
        <f>'t4'!X49</f>
        <v>0</v>
      </c>
      <c r="H27" s="401">
        <f t="shared" si="0"/>
        <v>31</v>
      </c>
      <c r="I27" s="401">
        <f>'t1'!L27+'t1'!M27</f>
        <v>31</v>
      </c>
      <c r="J27" s="109" t="str">
        <f t="shared" si="1"/>
        <v>OK</v>
      </c>
    </row>
    <row r="28" spans="1:10" ht="13.5" customHeight="1">
      <c r="A28" s="24" t="str">
        <f>'t1'!A28</f>
        <v>POSIZIONE ECONOMICA C2</v>
      </c>
      <c r="B28" s="205" t="str">
        <f>'t1'!B28</f>
        <v>042000</v>
      </c>
      <c r="C28" s="400">
        <f>'t1'!C28+'t1'!D28</f>
        <v>39</v>
      </c>
      <c r="D28" s="400">
        <f>'t5'!Q29+'t5'!R29</f>
        <v>0</v>
      </c>
      <c r="E28" s="401">
        <f>'t6'!S29+'t6'!T29</f>
        <v>0</v>
      </c>
      <c r="F28" s="401">
        <f>'t4'!AT28</f>
        <v>0</v>
      </c>
      <c r="G28" s="401">
        <f>'t4'!Y49</f>
        <v>0</v>
      </c>
      <c r="H28" s="401">
        <f t="shared" si="0"/>
        <v>39</v>
      </c>
      <c r="I28" s="401">
        <f>'t1'!L28+'t1'!M28</f>
        <v>39</v>
      </c>
      <c r="J28" s="109" t="str">
        <f t="shared" si="1"/>
        <v>OK</v>
      </c>
    </row>
    <row r="29" spans="1:10" ht="13.5" customHeight="1">
      <c r="A29" s="24" t="str">
        <f>'t1'!A29</f>
        <v>POSIZIONE ECONOMICA DI ACCESSO C1</v>
      </c>
      <c r="B29" s="205" t="str">
        <f>'t1'!B29</f>
        <v>056000</v>
      </c>
      <c r="C29" s="400">
        <f>'t1'!C29+'t1'!D29</f>
        <v>1</v>
      </c>
      <c r="D29" s="400">
        <f>'t5'!Q30+'t5'!R30</f>
        <v>1</v>
      </c>
      <c r="E29" s="401">
        <f>'t6'!S30+'t6'!T30</f>
        <v>0</v>
      </c>
      <c r="F29" s="401">
        <f>'t4'!AT29</f>
        <v>0</v>
      </c>
      <c r="G29" s="401">
        <f>'t4'!Z49</f>
        <v>0</v>
      </c>
      <c r="H29" s="401">
        <f t="shared" si="0"/>
        <v>0</v>
      </c>
      <c r="I29" s="401">
        <f>'t1'!L29+'t1'!M29</f>
        <v>0</v>
      </c>
      <c r="J29" s="109" t="str">
        <f t="shared" si="1"/>
        <v>OK</v>
      </c>
    </row>
    <row r="30" spans="1:10" ht="13.5" customHeight="1">
      <c r="A30" s="24" t="str">
        <f>'t1'!A30</f>
        <v>POSIZ. ECON. B7 - PROFILO ACCESSO B3</v>
      </c>
      <c r="B30" s="205" t="str">
        <f>'t1'!B30</f>
        <v>0B7A00</v>
      </c>
      <c r="C30" s="400">
        <f>'t1'!C30+'t1'!D30</f>
        <v>0</v>
      </c>
      <c r="D30" s="400">
        <f>'t5'!Q31+'t5'!R31</f>
        <v>0</v>
      </c>
      <c r="E30" s="401">
        <f>'t6'!S31+'t6'!T31</f>
        <v>0</v>
      </c>
      <c r="F30" s="401">
        <f>'t4'!AT30</f>
        <v>0</v>
      </c>
      <c r="G30" s="401">
        <f>'t4'!AA49</f>
        <v>0</v>
      </c>
      <c r="H30" s="401">
        <f t="shared" si="0"/>
        <v>0</v>
      </c>
      <c r="I30" s="401">
        <f>'t1'!L30+'t1'!M30</f>
        <v>0</v>
      </c>
      <c r="J30" s="109" t="str">
        <f t="shared" si="1"/>
        <v>OK</v>
      </c>
    </row>
    <row r="31" spans="1:10" ht="13.5" customHeight="1">
      <c r="A31" s="24" t="str">
        <f>'t1'!A31</f>
        <v>POSIZ. ECON. B7 - PROFILO  ACCESSO B1</v>
      </c>
      <c r="B31" s="205" t="str">
        <f>'t1'!B31</f>
        <v>0B7000</v>
      </c>
      <c r="C31" s="400">
        <f>'t1'!C31+'t1'!D31</f>
        <v>0</v>
      </c>
      <c r="D31" s="400">
        <f>'t5'!Q32+'t5'!R32</f>
        <v>0</v>
      </c>
      <c r="E31" s="401">
        <f>'t6'!S32+'t6'!T32</f>
        <v>0</v>
      </c>
      <c r="F31" s="401">
        <f>'t4'!AT31</f>
        <v>0</v>
      </c>
      <c r="G31" s="401">
        <f>'t4'!AB49</f>
        <v>0</v>
      </c>
      <c r="H31" s="401">
        <f t="shared" si="0"/>
        <v>0</v>
      </c>
      <c r="I31" s="401">
        <f>'t1'!L31+'t1'!M31</f>
        <v>0</v>
      </c>
      <c r="J31" s="109" t="str">
        <f t="shared" si="1"/>
        <v>OK</v>
      </c>
    </row>
    <row r="32" spans="1:10" ht="13.5" customHeight="1">
      <c r="A32" s="24" t="str">
        <f>'t1'!A32</f>
        <v>POSIZ.ECON. B6 PROFILI ACCESSO B3</v>
      </c>
      <c r="B32" s="205" t="str">
        <f>'t1'!B32</f>
        <v>038490</v>
      </c>
      <c r="C32" s="400">
        <f>'t1'!C32+'t1'!D32</f>
        <v>0</v>
      </c>
      <c r="D32" s="400">
        <f>'t5'!Q33+'t5'!R33</f>
        <v>0</v>
      </c>
      <c r="E32" s="401">
        <f>'t6'!S33+'t6'!T33</f>
        <v>0</v>
      </c>
      <c r="F32" s="401">
        <f>'t4'!AT32</f>
        <v>0</v>
      </c>
      <c r="G32" s="401">
        <f>'t4'!AC49</f>
        <v>0</v>
      </c>
      <c r="H32" s="401">
        <f t="shared" si="0"/>
        <v>0</v>
      </c>
      <c r="I32" s="401">
        <f>'t1'!L32+'t1'!M32</f>
        <v>0</v>
      </c>
      <c r="J32" s="109" t="str">
        <f t="shared" si="1"/>
        <v>OK</v>
      </c>
    </row>
    <row r="33" spans="1:10" ht="13.5" customHeight="1">
      <c r="A33" s="24" t="str">
        <f>'t1'!A33</f>
        <v>POSIZ.ECON. B6 PROFILI ACCESSO B1</v>
      </c>
      <c r="B33" s="205" t="str">
        <f>'t1'!B33</f>
        <v>038491</v>
      </c>
      <c r="C33" s="400">
        <f>'t1'!C33+'t1'!D33</f>
        <v>0</v>
      </c>
      <c r="D33" s="400">
        <f>'t5'!Q34+'t5'!R34</f>
        <v>0</v>
      </c>
      <c r="E33" s="401">
        <f>'t6'!S34+'t6'!T34</f>
        <v>0</v>
      </c>
      <c r="F33" s="401">
        <f>'t4'!AT33</f>
        <v>0</v>
      </c>
      <c r="G33" s="401">
        <f>'t4'!AD49</f>
        <v>0</v>
      </c>
      <c r="H33" s="401">
        <f t="shared" si="0"/>
        <v>0</v>
      </c>
      <c r="I33" s="401">
        <f>'t1'!L33+'t1'!M33</f>
        <v>0</v>
      </c>
      <c r="J33" s="109" t="str">
        <f t="shared" si="1"/>
        <v>OK</v>
      </c>
    </row>
    <row r="34" spans="1:10" ht="13.5" customHeight="1">
      <c r="A34" s="24" t="str">
        <f>'t1'!A34</f>
        <v>POSIZ.ECON. B5 PROFILI ACCESSO B3</v>
      </c>
      <c r="B34" s="205" t="str">
        <f>'t1'!B34</f>
        <v>037492</v>
      </c>
      <c r="C34" s="400">
        <f>'t1'!C34+'t1'!D34</f>
        <v>0</v>
      </c>
      <c r="D34" s="400">
        <f>'t5'!Q35+'t5'!R35</f>
        <v>0</v>
      </c>
      <c r="E34" s="401">
        <f>'t6'!S35+'t6'!T35</f>
        <v>0</v>
      </c>
      <c r="F34" s="401">
        <f>'t4'!AT34</f>
        <v>1</v>
      </c>
      <c r="G34" s="401">
        <f>'t4'!AE49</f>
        <v>1</v>
      </c>
      <c r="H34" s="401">
        <f t="shared" si="0"/>
        <v>0</v>
      </c>
      <c r="I34" s="401">
        <f>'t1'!L34+'t1'!M34</f>
        <v>1</v>
      </c>
      <c r="J34" s="109" t="str">
        <f t="shared" si="1"/>
        <v>ERRORE</v>
      </c>
    </row>
    <row r="35" spans="1:10" ht="13.5" customHeight="1">
      <c r="A35" s="24" t="str">
        <f>'t1'!A35</f>
        <v>POSIZ.ECON. B5 PROFILI ACCESSO B1</v>
      </c>
      <c r="B35" s="205" t="str">
        <f>'t1'!B35</f>
        <v>037493</v>
      </c>
      <c r="C35" s="400">
        <f>'t1'!C35+'t1'!D35</f>
        <v>0</v>
      </c>
      <c r="D35" s="400">
        <f>'t5'!Q36+'t5'!R36</f>
        <v>0</v>
      </c>
      <c r="E35" s="401">
        <f>'t6'!S36+'t6'!T36</f>
        <v>0</v>
      </c>
      <c r="F35" s="401">
        <f>'t4'!AT35</f>
        <v>0</v>
      </c>
      <c r="G35" s="401">
        <f>'t4'!AF49</f>
        <v>0</v>
      </c>
      <c r="H35" s="401">
        <f t="shared" si="0"/>
        <v>0</v>
      </c>
      <c r="I35" s="401">
        <f>'t1'!L35+'t1'!M35</f>
        <v>0</v>
      </c>
      <c r="J35" s="109" t="str">
        <f t="shared" si="1"/>
        <v>OK</v>
      </c>
    </row>
    <row r="36" spans="1:10" ht="13.5" customHeight="1">
      <c r="A36" s="24" t="str">
        <f>'t1'!A36</f>
        <v>POSIZ.ECON. B4 PROFILI ACCESSO B3</v>
      </c>
      <c r="B36" s="205" t="str">
        <f>'t1'!B36</f>
        <v>036494</v>
      </c>
      <c r="C36" s="400">
        <f>'t1'!C36+'t1'!D36</f>
        <v>31</v>
      </c>
      <c r="D36" s="400">
        <f>'t5'!Q37+'t5'!R37</f>
        <v>0</v>
      </c>
      <c r="E36" s="401">
        <f>'t6'!S37+'t6'!T37</f>
        <v>0</v>
      </c>
      <c r="F36" s="401">
        <f>'t4'!AT36</f>
        <v>1</v>
      </c>
      <c r="G36" s="401">
        <f>'t4'!AG49</f>
        <v>0</v>
      </c>
      <c r="H36" s="401">
        <f t="shared" si="0"/>
        <v>30</v>
      </c>
      <c r="I36" s="401">
        <f>'t1'!L36+'t1'!M36</f>
        <v>30</v>
      </c>
      <c r="J36" s="109" t="str">
        <f t="shared" si="1"/>
        <v>OK</v>
      </c>
    </row>
    <row r="37" spans="1:10" ht="13.5" customHeight="1">
      <c r="A37" s="24" t="str">
        <f>'t1'!A37</f>
        <v>POSIZ.ECON. B4 PROFILI ACCESSO B1</v>
      </c>
      <c r="B37" s="205" t="str">
        <f>'t1'!B37</f>
        <v>036495</v>
      </c>
      <c r="C37" s="400">
        <f>'t1'!C37+'t1'!D37</f>
        <v>2</v>
      </c>
      <c r="D37" s="400">
        <f>'t5'!Q38+'t5'!R38</f>
        <v>0</v>
      </c>
      <c r="E37" s="401">
        <f>'t6'!S38+'t6'!T38</f>
        <v>0</v>
      </c>
      <c r="F37" s="401">
        <f>'t4'!AT37</f>
        <v>0</v>
      </c>
      <c r="G37" s="401">
        <f>'t4'!AH49</f>
        <v>0</v>
      </c>
      <c r="H37" s="401">
        <f t="shared" si="0"/>
        <v>2</v>
      </c>
      <c r="I37" s="401">
        <f>'t1'!L37+'t1'!M37</f>
        <v>2</v>
      </c>
      <c r="J37" s="109" t="str">
        <f t="shared" si="1"/>
        <v>OK</v>
      </c>
    </row>
    <row r="38" spans="1:10" ht="13.5" customHeight="1">
      <c r="A38" s="24" t="str">
        <f>'t1'!A38</f>
        <v>POSIZIONE ECONOMICA DI ACCESSO B3</v>
      </c>
      <c r="B38" s="205" t="str">
        <f>'t1'!B38</f>
        <v>055000</v>
      </c>
      <c r="C38" s="400">
        <f>'t1'!C38+'t1'!D38</f>
        <v>13</v>
      </c>
      <c r="D38" s="400">
        <f>'t5'!Q39+'t5'!R39</f>
        <v>1</v>
      </c>
      <c r="E38" s="401">
        <f>'t6'!S39+'t6'!T39</f>
        <v>0</v>
      </c>
      <c r="F38" s="401">
        <f>'t4'!AT38</f>
        <v>0</v>
      </c>
      <c r="G38" s="401">
        <f>'t4'!AI49</f>
        <v>0</v>
      </c>
      <c r="H38" s="401">
        <f t="shared" si="0"/>
        <v>12</v>
      </c>
      <c r="I38" s="401">
        <f>'t1'!L38+'t1'!M38</f>
        <v>12</v>
      </c>
      <c r="J38" s="109" t="str">
        <f t="shared" si="1"/>
        <v>OK</v>
      </c>
    </row>
    <row r="39" spans="1:10" ht="13.5" customHeight="1">
      <c r="A39" s="24" t="str">
        <f>'t1'!A39</f>
        <v>POSIZIONE ECONOMICA B3</v>
      </c>
      <c r="B39" s="205" t="str">
        <f>'t1'!B39</f>
        <v>034000</v>
      </c>
      <c r="C39" s="400">
        <f>'t1'!C39+'t1'!D39</f>
        <v>13</v>
      </c>
      <c r="D39" s="400">
        <f>'t5'!Q40+'t5'!R40</f>
        <v>0</v>
      </c>
      <c r="E39" s="401">
        <f>'t6'!S40+'t6'!T40</f>
        <v>0</v>
      </c>
      <c r="F39" s="401">
        <f>'t4'!AT39</f>
        <v>0</v>
      </c>
      <c r="G39" s="401">
        <f>'t4'!AJ49</f>
        <v>0</v>
      </c>
      <c r="H39" s="401">
        <f t="shared" si="0"/>
        <v>13</v>
      </c>
      <c r="I39" s="401">
        <f>'t1'!L39+'t1'!M39</f>
        <v>13</v>
      </c>
      <c r="J39" s="109" t="str">
        <f t="shared" si="1"/>
        <v>OK</v>
      </c>
    </row>
    <row r="40" spans="1:10" ht="13.5" customHeight="1">
      <c r="A40" s="24" t="str">
        <f>'t1'!A40</f>
        <v>POSIZIONE ECONOMICA B2</v>
      </c>
      <c r="B40" s="205" t="str">
        <f>'t1'!B40</f>
        <v>032000</v>
      </c>
      <c r="C40" s="400">
        <f>'t1'!C40+'t1'!D40</f>
        <v>10</v>
      </c>
      <c r="D40" s="400">
        <f>'t5'!Q41+'t5'!R41</f>
        <v>0</v>
      </c>
      <c r="E40" s="401">
        <f>'t6'!S41+'t6'!T41</f>
        <v>0</v>
      </c>
      <c r="F40" s="401">
        <f>'t4'!AT40</f>
        <v>0</v>
      </c>
      <c r="G40" s="401">
        <f>'t4'!AK49</f>
        <v>0</v>
      </c>
      <c r="H40" s="401">
        <f t="shared" si="0"/>
        <v>10</v>
      </c>
      <c r="I40" s="401">
        <f>'t1'!L40+'t1'!M40</f>
        <v>10</v>
      </c>
      <c r="J40" s="109" t="str">
        <f t="shared" si="1"/>
        <v>OK</v>
      </c>
    </row>
    <row r="41" spans="1:10" ht="13.5" customHeight="1">
      <c r="A41" s="24" t="str">
        <f>'t1'!A41</f>
        <v>POSIZIONE ECONOMICA DI ACCESSO B1</v>
      </c>
      <c r="B41" s="205" t="str">
        <f>'t1'!B41</f>
        <v>054000</v>
      </c>
      <c r="C41" s="400">
        <f>'t1'!C41+'t1'!D41</f>
        <v>1</v>
      </c>
      <c r="D41" s="400">
        <f>'t5'!Q42+'t5'!R42</f>
        <v>0</v>
      </c>
      <c r="E41" s="401">
        <f>'t6'!S42+'t6'!T42</f>
        <v>0</v>
      </c>
      <c r="F41" s="401">
        <f>'t4'!AT41</f>
        <v>0</v>
      </c>
      <c r="G41" s="401">
        <f>'t4'!AL49</f>
        <v>0</v>
      </c>
      <c r="H41" s="401">
        <f aca="true" t="shared" si="2" ref="H41:H48">C41-D41+E41-F41+G41</f>
        <v>1</v>
      </c>
      <c r="I41" s="401">
        <f>'t1'!L41+'t1'!M41</f>
        <v>1</v>
      </c>
      <c r="J41" s="109" t="str">
        <f aca="true" t="shared" si="3" ref="J41:J48">IF(H41=I41,"OK","ERRORE")</f>
        <v>OK</v>
      </c>
    </row>
    <row r="42" spans="1:10" ht="13.5" customHeight="1">
      <c r="A42" s="24" t="str">
        <f>'t1'!A42</f>
        <v>POSIZIONE ECONOMICA A5</v>
      </c>
      <c r="B42" s="205" t="str">
        <f>'t1'!B42</f>
        <v>0A5000</v>
      </c>
      <c r="C42" s="400">
        <f>'t1'!C42+'t1'!D42</f>
        <v>0</v>
      </c>
      <c r="D42" s="400">
        <f>'t5'!Q43+'t5'!R43</f>
        <v>0</v>
      </c>
      <c r="E42" s="401">
        <f>'t6'!S43+'t6'!T43</f>
        <v>0</v>
      </c>
      <c r="F42" s="401">
        <f>'t4'!AT42</f>
        <v>0</v>
      </c>
      <c r="G42" s="401">
        <f>'t4'!AM49</f>
        <v>0</v>
      </c>
      <c r="H42" s="401">
        <f t="shared" si="2"/>
        <v>0</v>
      </c>
      <c r="I42" s="401">
        <f>'t1'!L42+'t1'!M42</f>
        <v>0</v>
      </c>
      <c r="J42" s="109" t="str">
        <f t="shared" si="3"/>
        <v>OK</v>
      </c>
    </row>
    <row r="43" spans="1:10" ht="13.5" customHeight="1">
      <c r="A43" s="24" t="str">
        <f>'t1'!A43</f>
        <v>POSIZIONE ECONOMICA A4</v>
      </c>
      <c r="B43" s="205" t="str">
        <f>'t1'!B43</f>
        <v>028000</v>
      </c>
      <c r="C43" s="400">
        <f>'t1'!C43+'t1'!D43</f>
        <v>0</v>
      </c>
      <c r="D43" s="400">
        <f>'t5'!Q44+'t5'!R44</f>
        <v>0</v>
      </c>
      <c r="E43" s="401">
        <f>'t6'!S44+'t6'!T44</f>
        <v>0</v>
      </c>
      <c r="F43" s="401">
        <f>'t4'!AT43</f>
        <v>0</v>
      </c>
      <c r="G43" s="401">
        <f>'t4'!AN49</f>
        <v>0</v>
      </c>
      <c r="H43" s="401">
        <f t="shared" si="2"/>
        <v>0</v>
      </c>
      <c r="I43" s="401">
        <f>'t1'!L43+'t1'!M43</f>
        <v>0</v>
      </c>
      <c r="J43" s="109" t="str">
        <f t="shared" si="3"/>
        <v>OK</v>
      </c>
    </row>
    <row r="44" spans="1:10" ht="13.5" customHeight="1">
      <c r="A44" s="24" t="str">
        <f>'t1'!A44</f>
        <v>POSIZIONE ECONOMICA A3</v>
      </c>
      <c r="B44" s="205" t="str">
        <f>'t1'!B44</f>
        <v>027000</v>
      </c>
      <c r="C44" s="400">
        <f>'t1'!C44+'t1'!D44</f>
        <v>0</v>
      </c>
      <c r="D44" s="400">
        <f>'t5'!Q45+'t5'!R45</f>
        <v>0</v>
      </c>
      <c r="E44" s="401">
        <f>'t6'!S45+'t6'!T45</f>
        <v>0</v>
      </c>
      <c r="F44" s="401">
        <f>'t4'!AT44</f>
        <v>0</v>
      </c>
      <c r="G44" s="401">
        <f>'t4'!AO49</f>
        <v>0</v>
      </c>
      <c r="H44" s="401">
        <f t="shared" si="2"/>
        <v>0</v>
      </c>
      <c r="I44" s="401">
        <f>'t1'!L44+'t1'!M44</f>
        <v>0</v>
      </c>
      <c r="J44" s="109" t="str">
        <f t="shared" si="3"/>
        <v>OK</v>
      </c>
    </row>
    <row r="45" spans="1:10" ht="13.5" customHeight="1">
      <c r="A45" s="24" t="str">
        <f>'t1'!A45</f>
        <v>POSIZIONE ECONOMICA A2</v>
      </c>
      <c r="B45" s="205" t="str">
        <f>'t1'!B45</f>
        <v>025000</v>
      </c>
      <c r="C45" s="400">
        <f>'t1'!C45+'t1'!D45</f>
        <v>0</v>
      </c>
      <c r="D45" s="400">
        <f>'t5'!Q46+'t5'!R46</f>
        <v>0</v>
      </c>
      <c r="E45" s="401">
        <f>'t6'!S46+'t6'!T46</f>
        <v>0</v>
      </c>
      <c r="F45" s="401">
        <f>'t4'!AT45</f>
        <v>0</v>
      </c>
      <c r="G45" s="401">
        <f>'t4'!AP49</f>
        <v>0</v>
      </c>
      <c r="H45" s="401">
        <f t="shared" si="2"/>
        <v>0</v>
      </c>
      <c r="I45" s="401">
        <f>'t1'!L45+'t1'!M45</f>
        <v>0</v>
      </c>
      <c r="J45" s="109" t="str">
        <f t="shared" si="3"/>
        <v>OK</v>
      </c>
    </row>
    <row r="46" spans="1:10" ht="13.5" customHeight="1">
      <c r="A46" s="24" t="str">
        <f>'t1'!A46</f>
        <v>POSIZIONE ECONOMICA DI ACCESSO A1</v>
      </c>
      <c r="B46" s="205" t="str">
        <f>'t1'!B46</f>
        <v>053000</v>
      </c>
      <c r="C46" s="400">
        <f>'t1'!C46+'t1'!D46</f>
        <v>1</v>
      </c>
      <c r="D46" s="400">
        <f>'t5'!Q47+'t5'!R47</f>
        <v>0</v>
      </c>
      <c r="E46" s="401">
        <f>'t6'!S47+'t6'!T47</f>
        <v>0</v>
      </c>
      <c r="F46" s="401">
        <f>'t4'!AT46</f>
        <v>0</v>
      </c>
      <c r="G46" s="401">
        <f>'t4'!AQ49</f>
        <v>0</v>
      </c>
      <c r="H46" s="401">
        <f t="shared" si="2"/>
        <v>1</v>
      </c>
      <c r="I46" s="401">
        <f>'t1'!L46+'t1'!M46</f>
        <v>1</v>
      </c>
      <c r="J46" s="109" t="str">
        <f t="shared" si="3"/>
        <v>OK</v>
      </c>
    </row>
    <row r="47" spans="1:10" ht="13.5" customHeight="1">
      <c r="A47" s="24" t="str">
        <f>'t1'!A47</f>
        <v>CONTRATTISTI (a)</v>
      </c>
      <c r="B47" s="205" t="str">
        <f>'t1'!B47</f>
        <v>000061</v>
      </c>
      <c r="C47" s="400">
        <f>'t1'!C47+'t1'!D47</f>
        <v>2</v>
      </c>
      <c r="D47" s="400">
        <f>'t5'!Q48+'t5'!R48</f>
        <v>0</v>
      </c>
      <c r="E47" s="401">
        <f>'t6'!S48+'t6'!T48</f>
        <v>0</v>
      </c>
      <c r="F47" s="401">
        <f>'t4'!AT47</f>
        <v>0</v>
      </c>
      <c r="G47" s="401">
        <f>'t4'!AR49</f>
        <v>0</v>
      </c>
      <c r="H47" s="401">
        <f t="shared" si="2"/>
        <v>2</v>
      </c>
      <c r="I47" s="401">
        <f>'t1'!L47+'t1'!M47</f>
        <v>2</v>
      </c>
      <c r="J47" s="109" t="str">
        <f t="shared" si="3"/>
        <v>OK</v>
      </c>
    </row>
    <row r="48" spans="1:10" ht="13.5" customHeight="1">
      <c r="A48" s="24" t="str">
        <f>'t1'!A48</f>
        <v>COLLABORATORE A TEMPO DETERMIN. (b)</v>
      </c>
      <c r="B48" s="205" t="str">
        <f>'t1'!B48</f>
        <v>000096</v>
      </c>
      <c r="C48" s="400">
        <f>'t1'!C48+'t1'!D48</f>
        <v>0</v>
      </c>
      <c r="D48" s="400">
        <f>'t5'!Q49+'t5'!R49</f>
        <v>0</v>
      </c>
      <c r="E48" s="401">
        <f>'t6'!S49+'t6'!T49</f>
        <v>0</v>
      </c>
      <c r="F48" s="401">
        <f>'t4'!AT48</f>
        <v>0</v>
      </c>
      <c r="G48" s="401">
        <f>'t4'!AS49</f>
        <v>0</v>
      </c>
      <c r="H48" s="401">
        <f t="shared" si="2"/>
        <v>0</v>
      </c>
      <c r="I48" s="401">
        <f>'t1'!L48+'t1'!M48</f>
        <v>0</v>
      </c>
      <c r="J48" s="109" t="str">
        <f t="shared" si="3"/>
        <v>OK</v>
      </c>
    </row>
    <row r="49" spans="1:10" s="407" customFormat="1" ht="15.75" customHeight="1">
      <c r="A49" s="430" t="str">
        <f>'t1'!A49</f>
        <v>TOTALE</v>
      </c>
      <c r="B49" s="227"/>
      <c r="C49" s="431">
        <f aca="true" t="shared" si="4" ref="C49:I49">SUM(C6:C48)</f>
        <v>273</v>
      </c>
      <c r="D49" s="431">
        <f t="shared" si="4"/>
        <v>14</v>
      </c>
      <c r="E49" s="431">
        <f t="shared" si="4"/>
        <v>10</v>
      </c>
      <c r="F49" s="431">
        <f t="shared" si="4"/>
        <v>2</v>
      </c>
      <c r="G49" s="431">
        <f t="shared" si="4"/>
        <v>2</v>
      </c>
      <c r="H49" s="431">
        <f t="shared" si="4"/>
        <v>269</v>
      </c>
      <c r="I49" s="431">
        <f t="shared" si="4"/>
        <v>269</v>
      </c>
      <c r="J49" s="432" t="str">
        <f t="shared" si="1"/>
        <v>OK</v>
      </c>
    </row>
    <row r="54" spans="6:20" ht="11.25">
      <c r="F54" s="427"/>
      <c r="G54" s="427"/>
      <c r="H54" s="427"/>
      <c r="I54" s="427"/>
      <c r="J54" s="427"/>
      <c r="K54" s="428"/>
      <c r="L54" s="428"/>
      <c r="M54" s="428"/>
      <c r="N54" s="428"/>
      <c r="O54" s="428"/>
      <c r="P54" s="428"/>
      <c r="Q54" s="428"/>
      <c r="R54" s="428"/>
      <c r="S54" s="428"/>
      <c r="T54" s="428"/>
    </row>
    <row r="58" ht="11.25">
      <c r="G58" s="427"/>
    </row>
    <row r="59" ht="11.25">
      <c r="G59" s="427"/>
    </row>
    <row r="60" ht="11.25">
      <c r="G60" s="427"/>
    </row>
    <row r="61" ht="11.25">
      <c r="G61" s="427"/>
    </row>
    <row r="62" ht="11.25">
      <c r="G62" s="427"/>
    </row>
    <row r="63" ht="11.25">
      <c r="G63" s="428"/>
    </row>
    <row r="64" ht="11.25">
      <c r="G64" s="428"/>
    </row>
    <row r="65" ht="11.25">
      <c r="G65" s="428"/>
    </row>
    <row r="66" ht="11.25">
      <c r="G66" s="428"/>
    </row>
    <row r="67" ht="11.25">
      <c r="G67" s="428"/>
    </row>
    <row r="68" ht="11.25">
      <c r="G68" s="428"/>
    </row>
    <row r="69" ht="11.25">
      <c r="G69" s="428"/>
    </row>
    <row r="70" ht="11.25">
      <c r="G70" s="428"/>
    </row>
    <row r="71" ht="11.25">
      <c r="G71" s="428"/>
    </row>
    <row r="72" ht="11.25">
      <c r="G72" s="428"/>
    </row>
  </sheetData>
  <sheetProtection password="EA98" sheet="1" formatColumns="0" selectLockedCells="1" selectUnlockedCells="1"/>
  <mergeCells count="2">
    <mergeCell ref="A1:H1"/>
    <mergeCell ref="D2:J2"/>
  </mergeCells>
  <printOptions horizontalCentered="1" verticalCentered="1"/>
  <pageMargins left="0" right="0" top="0.17" bottom="0.16" header="0.19" footer="0.19"/>
  <pageSetup fitToHeight="1" fitToWidth="1" horizontalDpi="300" verticalDpi="300" orientation="landscape" paperSize="9" scale="73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3">
    <pageSetUpPr fitToPage="1"/>
  </sheetPr>
  <dimension ref="A1:M50"/>
  <sheetViews>
    <sheetView showGridLines="0" zoomScalePageLayoutView="0" workbookViewId="0" topLeftCell="A1">
      <pane xSplit="2" ySplit="6" topLeftCell="C7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A2" sqref="A2"/>
    </sheetView>
  </sheetViews>
  <sheetFormatPr defaultColWidth="9.33203125" defaultRowHeight="10.5"/>
  <cols>
    <col min="1" max="1" width="35.83203125" style="5" customWidth="1"/>
    <col min="2" max="2" width="12.5" style="7" customWidth="1"/>
    <col min="3" max="3" width="11" style="7" customWidth="1"/>
    <col min="4" max="5" width="12.5" style="7" customWidth="1"/>
    <col min="6" max="7" width="10.83203125" style="7" customWidth="1"/>
    <col min="8" max="8" width="11" style="7" customWidth="1"/>
    <col min="9" max="10" width="12.5" style="7" customWidth="1"/>
    <col min="11" max="11" width="10.83203125" style="7" customWidth="1"/>
    <col min="12" max="12" width="10.83203125" style="5" customWidth="1"/>
    <col min="13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3"/>
      <c r="L1" s="370"/>
      <c r="M1"/>
    </row>
    <row r="2" spans="2:13" ht="21" customHeight="1">
      <c r="B2" s="5"/>
      <c r="C2" s="5"/>
      <c r="D2" s="5"/>
      <c r="E2" s="1496"/>
      <c r="F2" s="1496"/>
      <c r="G2" s="1496"/>
      <c r="H2" s="1496"/>
      <c r="I2" s="1496"/>
      <c r="J2" s="1496"/>
      <c r="K2" s="1496"/>
      <c r="L2" s="1496"/>
      <c r="M2"/>
    </row>
    <row r="3" spans="1:11" ht="21" customHeight="1">
      <c r="A3" s="215" t="str">
        <f>"Tavola di coerenza tra presenti al 31.12."&amp;'t1'!M1&amp;" rilevati nelle Tabelle 1, 7, 8 e 9 (Squadratura 2)"</f>
        <v>Tavola di coerenza tra presenti al 31.12.2009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08" customFormat="1" ht="11.25" customHeight="1">
      <c r="A4" s="207"/>
      <c r="B4" s="207"/>
      <c r="C4" s="1497" t="s">
        <v>278</v>
      </c>
      <c r="D4" s="1498"/>
      <c r="E4" s="1498"/>
      <c r="F4" s="1498"/>
      <c r="G4" s="1499"/>
      <c r="H4" s="1497" t="s">
        <v>279</v>
      </c>
      <c r="I4" s="1498"/>
      <c r="J4" s="1498"/>
      <c r="K4" s="1498"/>
      <c r="L4" s="1499"/>
    </row>
    <row r="5" spans="1:12" ht="70.5" customHeight="1">
      <c r="A5" s="197" t="s">
        <v>213</v>
      </c>
      <c r="B5" s="197" t="s">
        <v>212</v>
      </c>
      <c r="C5" s="206" t="str">
        <f>"Presenti 31.12."&amp;'t1'!M1&amp;" (Tab 1)"</f>
        <v>Presenti 31.12.2009 (Tab 1)</v>
      </c>
      <c r="D5" s="202" t="s">
        <v>223</v>
      </c>
      <c r="E5" s="202" t="s">
        <v>224</v>
      </c>
      <c r="F5" s="202" t="s">
        <v>898</v>
      </c>
      <c r="G5" s="202" t="s">
        <v>222</v>
      </c>
      <c r="H5" s="206" t="str">
        <f>"Presenti 31.12."&amp;'t1'!M1&amp;" (Tab 1)"</f>
        <v>Presenti 31.12.2009 (Tab 1)</v>
      </c>
      <c r="I5" s="202" t="s">
        <v>223</v>
      </c>
      <c r="J5" s="202" t="s">
        <v>224</v>
      </c>
      <c r="K5" s="202" t="s">
        <v>898</v>
      </c>
      <c r="L5" s="202" t="s">
        <v>222</v>
      </c>
    </row>
    <row r="6" spans="1:12" ht="11.25">
      <c r="A6" s="198"/>
      <c r="B6" s="198"/>
      <c r="C6" s="208" t="s">
        <v>214</v>
      </c>
      <c r="D6" s="208" t="s">
        <v>215</v>
      </c>
      <c r="E6" s="208" t="s">
        <v>216</v>
      </c>
      <c r="F6" s="208" t="s">
        <v>217</v>
      </c>
      <c r="G6" s="209" t="s">
        <v>240</v>
      </c>
      <c r="H6" s="208" t="s">
        <v>218</v>
      </c>
      <c r="I6" s="208" t="s">
        <v>238</v>
      </c>
      <c r="J6" s="208" t="s">
        <v>220</v>
      </c>
      <c r="K6" s="208" t="s">
        <v>228</v>
      </c>
      <c r="L6" s="209" t="s">
        <v>241</v>
      </c>
    </row>
    <row r="7" spans="1:12" ht="13.5" customHeight="1">
      <c r="A7" s="147" t="str">
        <f>'t1'!A6</f>
        <v>SEGRETARIO A</v>
      </c>
      <c r="B7" s="205" t="str">
        <f>'t1'!B6</f>
        <v>0D0102</v>
      </c>
      <c r="C7" s="400">
        <f>'t1'!L6</f>
        <v>1</v>
      </c>
      <c r="D7" s="400">
        <f>'t7'!U6</f>
        <v>1</v>
      </c>
      <c r="E7" s="401">
        <f>'t8'!Y6</f>
        <v>1</v>
      </c>
      <c r="F7" s="401">
        <f>'t9'!O6</f>
        <v>1</v>
      </c>
      <c r="G7" s="109" t="str">
        <f>IF(COUNTIF(C7:F7,C7)=4,"OK","ERRORE")</f>
        <v>OK</v>
      </c>
      <c r="H7" s="401">
        <f>'t1'!M6</f>
        <v>0</v>
      </c>
      <c r="I7" s="401">
        <f>'t7'!V6</f>
        <v>0</v>
      </c>
      <c r="J7" s="401">
        <f>'t8'!Z6</f>
        <v>0</v>
      </c>
      <c r="K7" s="400">
        <f>'t9'!P6</f>
        <v>0</v>
      </c>
      <c r="L7" s="109" t="str">
        <f>IF(COUNTIF(H7:K7,H7)=4,"OK","ERRORE")</f>
        <v>OK</v>
      </c>
    </row>
    <row r="8" spans="1:12" ht="13.5" customHeight="1">
      <c r="A8" s="147" t="str">
        <f>'t1'!A7</f>
        <v>SEGRETARIO B</v>
      </c>
      <c r="B8" s="205" t="str">
        <f>'t1'!B7</f>
        <v>0D0103</v>
      </c>
      <c r="C8" s="400">
        <f>'t1'!L7</f>
        <v>0</v>
      </c>
      <c r="D8" s="400">
        <f>'t7'!U7</f>
        <v>0</v>
      </c>
      <c r="E8" s="401">
        <f>'t8'!Y7</f>
        <v>0</v>
      </c>
      <c r="F8" s="401">
        <f>'t9'!O7</f>
        <v>0</v>
      </c>
      <c r="G8" s="109" t="str">
        <f aca="true" t="shared" si="0" ref="G8:G50">IF(COUNTIF(C8:F8,C8)=4,"OK","ERRORE")</f>
        <v>OK</v>
      </c>
      <c r="H8" s="401">
        <f>'t1'!M7</f>
        <v>0</v>
      </c>
      <c r="I8" s="401">
        <f>'t7'!V7</f>
        <v>0</v>
      </c>
      <c r="J8" s="401">
        <f>'t8'!Z7</f>
        <v>0</v>
      </c>
      <c r="K8" s="400">
        <f>'t9'!P7</f>
        <v>0</v>
      </c>
      <c r="L8" s="109" t="str">
        <f aca="true" t="shared" si="1" ref="L8:L50">IF(COUNTIF(H8:K8,H8)=4,"OK","ERRORE")</f>
        <v>OK</v>
      </c>
    </row>
    <row r="9" spans="1:12" ht="13.5" customHeight="1">
      <c r="A9" s="147" t="str">
        <f>'t1'!A8</f>
        <v>SEGRETARIO C</v>
      </c>
      <c r="B9" s="205" t="str">
        <f>'t1'!B8</f>
        <v>0D0485</v>
      </c>
      <c r="C9" s="400">
        <f>'t1'!L8</f>
        <v>0</v>
      </c>
      <c r="D9" s="400">
        <f>'t7'!U8</f>
        <v>0</v>
      </c>
      <c r="E9" s="401">
        <f>'t8'!Y8</f>
        <v>0</v>
      </c>
      <c r="F9" s="401">
        <f>'t9'!O8</f>
        <v>0</v>
      </c>
      <c r="G9" s="109" t="str">
        <f t="shared" si="0"/>
        <v>OK</v>
      </c>
      <c r="H9" s="401">
        <f>'t1'!M8</f>
        <v>0</v>
      </c>
      <c r="I9" s="401">
        <f>'t7'!V8</f>
        <v>0</v>
      </c>
      <c r="J9" s="401">
        <f>'t8'!Z8</f>
        <v>0</v>
      </c>
      <c r="K9" s="400">
        <f>'t9'!P8</f>
        <v>0</v>
      </c>
      <c r="L9" s="109" t="str">
        <f t="shared" si="1"/>
        <v>OK</v>
      </c>
    </row>
    <row r="10" spans="1:12" ht="13.5" customHeight="1">
      <c r="A10" s="147" t="str">
        <f>'t1'!A9</f>
        <v>SEGRETARIO GENERALE CCIAA</v>
      </c>
      <c r="B10" s="205" t="str">
        <f>'t1'!B9</f>
        <v>0D0104</v>
      </c>
      <c r="C10" s="400">
        <f>'t1'!L9</f>
        <v>0</v>
      </c>
      <c r="D10" s="400">
        <f>'t7'!U9</f>
        <v>0</v>
      </c>
      <c r="E10" s="401">
        <f>'t8'!Y9</f>
        <v>0</v>
      </c>
      <c r="F10" s="401">
        <f>'t9'!O9</f>
        <v>0</v>
      </c>
      <c r="G10" s="109" t="str">
        <f t="shared" si="0"/>
        <v>OK</v>
      </c>
      <c r="H10" s="401">
        <f>'t1'!M9</f>
        <v>0</v>
      </c>
      <c r="I10" s="401">
        <f>'t7'!V9</f>
        <v>0</v>
      </c>
      <c r="J10" s="401">
        <f>'t8'!Z9</f>
        <v>0</v>
      </c>
      <c r="K10" s="400">
        <f>'t9'!P9</f>
        <v>0</v>
      </c>
      <c r="L10" s="109" t="str">
        <f t="shared" si="1"/>
        <v>OK</v>
      </c>
    </row>
    <row r="11" spans="1:12" ht="13.5" customHeight="1">
      <c r="A11" s="147" t="str">
        <f>'t1'!A10</f>
        <v>DIRETTORE  GENERALE</v>
      </c>
      <c r="B11" s="205" t="str">
        <f>'t1'!B10</f>
        <v>0D0097</v>
      </c>
      <c r="C11" s="400">
        <f>'t1'!L10</f>
        <v>0</v>
      </c>
      <c r="D11" s="400">
        <f>'t7'!U10</f>
        <v>0</v>
      </c>
      <c r="E11" s="401">
        <f>'t8'!Y10</f>
        <v>0</v>
      </c>
      <c r="F11" s="401">
        <f>'t9'!O10</f>
        <v>0</v>
      </c>
      <c r="G11" s="109" t="str">
        <f t="shared" si="0"/>
        <v>OK</v>
      </c>
      <c r="H11" s="401">
        <f>'t1'!M10</f>
        <v>0</v>
      </c>
      <c r="I11" s="401">
        <f>'t7'!V10</f>
        <v>0</v>
      </c>
      <c r="J11" s="401">
        <f>'t8'!Z10</f>
        <v>0</v>
      </c>
      <c r="K11" s="400">
        <f>'t9'!P10</f>
        <v>0</v>
      </c>
      <c r="L11" s="109" t="str">
        <f t="shared" si="1"/>
        <v>OK</v>
      </c>
    </row>
    <row r="12" spans="1:12" ht="13.5" customHeight="1">
      <c r="A12" s="147" t="str">
        <f>'t1'!A11</f>
        <v>DIRIGENTE FUORI D.O.</v>
      </c>
      <c r="B12" s="205" t="str">
        <f>'t1'!B11</f>
        <v>0D0098</v>
      </c>
      <c r="C12" s="400">
        <f>'t1'!L11</f>
        <v>0</v>
      </c>
      <c r="D12" s="400">
        <f>'t7'!U11</f>
        <v>0</v>
      </c>
      <c r="E12" s="401">
        <f>'t8'!Y11</f>
        <v>0</v>
      </c>
      <c r="F12" s="401">
        <f>'t9'!O11</f>
        <v>0</v>
      </c>
      <c r="G12" s="109" t="str">
        <f t="shared" si="0"/>
        <v>OK</v>
      </c>
      <c r="H12" s="401">
        <f>'t1'!M11</f>
        <v>0</v>
      </c>
      <c r="I12" s="401">
        <f>'t7'!V11</f>
        <v>0</v>
      </c>
      <c r="J12" s="401">
        <f>'t8'!Z11</f>
        <v>0</v>
      </c>
      <c r="K12" s="400">
        <f>'t9'!P11</f>
        <v>0</v>
      </c>
      <c r="L12" s="109" t="str">
        <f t="shared" si="1"/>
        <v>OK</v>
      </c>
    </row>
    <row r="13" spans="1:12" ht="13.5" customHeight="1">
      <c r="A13" s="147" t="str">
        <f>'t1'!A12</f>
        <v>ALTE SPECIALIZZ. FUORI D.O.</v>
      </c>
      <c r="B13" s="205" t="str">
        <f>'t1'!B12</f>
        <v>0D0095</v>
      </c>
      <c r="C13" s="400">
        <f>'t1'!L12</f>
        <v>0</v>
      </c>
      <c r="D13" s="400">
        <f>'t7'!U12</f>
        <v>0</v>
      </c>
      <c r="E13" s="401">
        <f>'t8'!Y12</f>
        <v>0</v>
      </c>
      <c r="F13" s="401">
        <f>'t9'!O12</f>
        <v>0</v>
      </c>
      <c r="G13" s="109" t="str">
        <f t="shared" si="0"/>
        <v>OK</v>
      </c>
      <c r="H13" s="401">
        <f>'t1'!M12</f>
        <v>0</v>
      </c>
      <c r="I13" s="401">
        <f>'t7'!V12</f>
        <v>0</v>
      </c>
      <c r="J13" s="401">
        <f>'t8'!Z12</f>
        <v>0</v>
      </c>
      <c r="K13" s="400">
        <f>'t9'!P12</f>
        <v>0</v>
      </c>
      <c r="L13" s="109" t="str">
        <f t="shared" si="1"/>
        <v>OK</v>
      </c>
    </row>
    <row r="14" spans="1:12" ht="13.5" customHeight="1">
      <c r="A14" s="147" t="str">
        <f>'t1'!A13</f>
        <v>QUALIFICA DIRIGENZIALE TEMPO INDET.</v>
      </c>
      <c r="B14" s="205" t="str">
        <f>'t1'!B13</f>
        <v>0D0100</v>
      </c>
      <c r="C14" s="400">
        <f>'t1'!L13</f>
        <v>0</v>
      </c>
      <c r="D14" s="400">
        <f>'t7'!U13</f>
        <v>0</v>
      </c>
      <c r="E14" s="401">
        <f>'t8'!Y13</f>
        <v>0</v>
      </c>
      <c r="F14" s="401">
        <f>'t9'!O13</f>
        <v>0</v>
      </c>
      <c r="G14" s="109" t="str">
        <f t="shared" si="0"/>
        <v>OK</v>
      </c>
      <c r="H14" s="401">
        <f>'t1'!M13</f>
        <v>1</v>
      </c>
      <c r="I14" s="401">
        <f>'t7'!V13</f>
        <v>1</v>
      </c>
      <c r="J14" s="401">
        <f>'t8'!Z13</f>
        <v>1</v>
      </c>
      <c r="K14" s="400">
        <f>'t9'!P13</f>
        <v>1</v>
      </c>
      <c r="L14" s="109" t="str">
        <f t="shared" si="1"/>
        <v>OK</v>
      </c>
    </row>
    <row r="15" spans="1:12" ht="13.5" customHeight="1">
      <c r="A15" s="147" t="str">
        <f>'t1'!A14</f>
        <v>QUALIFICA DIRIGENZIALE TEMPO DETER.</v>
      </c>
      <c r="B15" s="205" t="str">
        <f>'t1'!B14</f>
        <v>0D0099</v>
      </c>
      <c r="C15" s="400">
        <f>'t1'!L14</f>
        <v>10</v>
      </c>
      <c r="D15" s="400">
        <f>'t7'!U14</f>
        <v>10</v>
      </c>
      <c r="E15" s="401">
        <f>'t8'!Y14</f>
        <v>10</v>
      </c>
      <c r="F15" s="401">
        <f>'t9'!O14</f>
        <v>10</v>
      </c>
      <c r="G15" s="109" t="str">
        <f t="shared" si="0"/>
        <v>OK</v>
      </c>
      <c r="H15" s="401">
        <f>'t1'!M14</f>
        <v>0</v>
      </c>
      <c r="I15" s="401">
        <f>'t7'!V14</f>
        <v>0</v>
      </c>
      <c r="J15" s="401">
        <f>'t8'!Z14</f>
        <v>0</v>
      </c>
      <c r="K15" s="400">
        <f>'t9'!P14</f>
        <v>0</v>
      </c>
      <c r="L15" s="109" t="str">
        <f t="shared" si="1"/>
        <v>OK</v>
      </c>
    </row>
    <row r="16" spans="1:12" ht="13.5" customHeight="1">
      <c r="A16" s="147" t="str">
        <f>'t1'!A15</f>
        <v>POSIZ. ECON. D6 - PROFILI ACCESSO D3</v>
      </c>
      <c r="B16" s="205" t="str">
        <f>'t1'!B15</f>
        <v>0D6A00</v>
      </c>
      <c r="C16" s="400">
        <f>'t1'!L15</f>
        <v>5</v>
      </c>
      <c r="D16" s="400">
        <f>'t7'!U15</f>
        <v>5</v>
      </c>
      <c r="E16" s="401">
        <f>'t8'!Y15</f>
        <v>5</v>
      </c>
      <c r="F16" s="401">
        <f>'t9'!O15</f>
        <v>5</v>
      </c>
      <c r="G16" s="109" t="str">
        <f t="shared" si="0"/>
        <v>OK</v>
      </c>
      <c r="H16" s="401">
        <f>'t1'!M15</f>
        <v>3</v>
      </c>
      <c r="I16" s="401">
        <f>'t7'!V15</f>
        <v>3</v>
      </c>
      <c r="J16" s="401">
        <f>'t8'!Z15</f>
        <v>3</v>
      </c>
      <c r="K16" s="400">
        <f>'t9'!P15</f>
        <v>3</v>
      </c>
      <c r="L16" s="109" t="str">
        <f t="shared" si="1"/>
        <v>OK</v>
      </c>
    </row>
    <row r="17" spans="1:12" ht="13.5" customHeight="1">
      <c r="A17" s="147" t="str">
        <f>'t1'!A16</f>
        <v>POSIZ. ECON. D6 - PROFILO ACCESSO D1</v>
      </c>
      <c r="B17" s="205" t="str">
        <f>'t1'!B16</f>
        <v>0D6000</v>
      </c>
      <c r="C17" s="400">
        <f>'t1'!L16</f>
        <v>0</v>
      </c>
      <c r="D17" s="400">
        <f>'t7'!U16</f>
        <v>0</v>
      </c>
      <c r="E17" s="401">
        <f>'t8'!Y16</f>
        <v>0</v>
      </c>
      <c r="F17" s="401">
        <f>'t9'!O16</f>
        <v>0</v>
      </c>
      <c r="G17" s="109" t="str">
        <f t="shared" si="0"/>
        <v>OK</v>
      </c>
      <c r="H17" s="401">
        <f>'t1'!M16</f>
        <v>0</v>
      </c>
      <c r="I17" s="401">
        <f>'t7'!V16</f>
        <v>0</v>
      </c>
      <c r="J17" s="401">
        <f>'t8'!Z16</f>
        <v>0</v>
      </c>
      <c r="K17" s="400">
        <f>'t9'!P16</f>
        <v>0</v>
      </c>
      <c r="L17" s="109" t="str">
        <f t="shared" si="1"/>
        <v>OK</v>
      </c>
    </row>
    <row r="18" spans="1:12" ht="13.5" customHeight="1">
      <c r="A18" s="147" t="str">
        <f>'t1'!A17</f>
        <v>POSIZ.ECON. D5 PROFILI ACCESSO D3</v>
      </c>
      <c r="B18" s="205" t="str">
        <f>'t1'!B17</f>
        <v>052486</v>
      </c>
      <c r="C18" s="400">
        <f>'t1'!L17</f>
        <v>6</v>
      </c>
      <c r="D18" s="400">
        <f>'t7'!U17</f>
        <v>6</v>
      </c>
      <c r="E18" s="401">
        <f>'t8'!Y17</f>
        <v>6</v>
      </c>
      <c r="F18" s="401">
        <f>'t9'!O17</f>
        <v>6</v>
      </c>
      <c r="G18" s="109" t="str">
        <f t="shared" si="0"/>
        <v>OK</v>
      </c>
      <c r="H18" s="401">
        <f>'t1'!M17</f>
        <v>2</v>
      </c>
      <c r="I18" s="401">
        <f>'t7'!V17</f>
        <v>2</v>
      </c>
      <c r="J18" s="401">
        <f>'t8'!Z17</f>
        <v>2</v>
      </c>
      <c r="K18" s="400">
        <f>'t9'!P17</f>
        <v>2</v>
      </c>
      <c r="L18" s="109" t="str">
        <f t="shared" si="1"/>
        <v>OK</v>
      </c>
    </row>
    <row r="19" spans="1:12" ht="13.5" customHeight="1">
      <c r="A19" s="147" t="str">
        <f>'t1'!A18</f>
        <v>POSIZ.ECON. D5 PROFILI ACCESSO D1</v>
      </c>
      <c r="B19" s="205" t="str">
        <f>'t1'!B18</f>
        <v>052487</v>
      </c>
      <c r="C19" s="400">
        <f>'t1'!L18</f>
        <v>1</v>
      </c>
      <c r="D19" s="400">
        <f>'t7'!U18</f>
        <v>1</v>
      </c>
      <c r="E19" s="401">
        <f>'t8'!Y18</f>
        <v>1</v>
      </c>
      <c r="F19" s="401">
        <f>'t9'!O18</f>
        <v>1</v>
      </c>
      <c r="G19" s="109" t="str">
        <f t="shared" si="0"/>
        <v>OK</v>
      </c>
      <c r="H19" s="401">
        <f>'t1'!M18</f>
        <v>0</v>
      </c>
      <c r="I19" s="401">
        <f>'t7'!V18</f>
        <v>0</v>
      </c>
      <c r="J19" s="401">
        <f>'t8'!Z18</f>
        <v>0</v>
      </c>
      <c r="K19" s="400">
        <f>'t9'!P18</f>
        <v>0</v>
      </c>
      <c r="L19" s="109" t="str">
        <f t="shared" si="1"/>
        <v>OK</v>
      </c>
    </row>
    <row r="20" spans="1:12" ht="13.5" customHeight="1">
      <c r="A20" s="147" t="str">
        <f>'t1'!A19</f>
        <v>POSIZ.ECON. D4 PROFILI ACCESSO D3</v>
      </c>
      <c r="B20" s="205" t="str">
        <f>'t1'!B19</f>
        <v>051488</v>
      </c>
      <c r="C20" s="400">
        <f>'t1'!L19</f>
        <v>9</v>
      </c>
      <c r="D20" s="400">
        <f>'t7'!U19</f>
        <v>9</v>
      </c>
      <c r="E20" s="401">
        <f>'t8'!Y19</f>
        <v>9</v>
      </c>
      <c r="F20" s="401">
        <f>'t9'!O19</f>
        <v>9</v>
      </c>
      <c r="G20" s="109" t="str">
        <f t="shared" si="0"/>
        <v>OK</v>
      </c>
      <c r="H20" s="401">
        <f>'t1'!M19</f>
        <v>5</v>
      </c>
      <c r="I20" s="401">
        <f>'t7'!V19</f>
        <v>5</v>
      </c>
      <c r="J20" s="401">
        <f>'t8'!Z19</f>
        <v>5</v>
      </c>
      <c r="K20" s="400">
        <f>'t9'!P19</f>
        <v>5</v>
      </c>
      <c r="L20" s="109" t="str">
        <f t="shared" si="1"/>
        <v>OK</v>
      </c>
    </row>
    <row r="21" spans="1:12" ht="13.5" customHeight="1">
      <c r="A21" s="147" t="str">
        <f>'t1'!A20</f>
        <v>POSIZ.ECON. D4 PROFILI ACCESSO D1</v>
      </c>
      <c r="B21" s="205" t="str">
        <f>'t1'!B20</f>
        <v>051489</v>
      </c>
      <c r="C21" s="400">
        <f>'t1'!L20</f>
        <v>3</v>
      </c>
      <c r="D21" s="400">
        <f>'t7'!U20</f>
        <v>3</v>
      </c>
      <c r="E21" s="401">
        <f>'t8'!Y20</f>
        <v>3</v>
      </c>
      <c r="F21" s="401">
        <f>'t9'!O20</f>
        <v>3</v>
      </c>
      <c r="G21" s="109" t="str">
        <f t="shared" si="0"/>
        <v>OK</v>
      </c>
      <c r="H21" s="401">
        <f>'t1'!M20</f>
        <v>0</v>
      </c>
      <c r="I21" s="401">
        <f>'t7'!V20</f>
        <v>0</v>
      </c>
      <c r="J21" s="401">
        <f>'t8'!Z20</f>
        <v>0</v>
      </c>
      <c r="K21" s="400">
        <f>'t9'!P20</f>
        <v>0</v>
      </c>
      <c r="L21" s="109" t="str">
        <f t="shared" si="1"/>
        <v>OK</v>
      </c>
    </row>
    <row r="22" spans="1:12" ht="13.5" customHeight="1">
      <c r="A22" s="147" t="str">
        <f>'t1'!A21</f>
        <v>POSIZIONE ECONOMICA DI ACCESSO D3</v>
      </c>
      <c r="B22" s="205" t="str">
        <f>'t1'!B21</f>
        <v>058000</v>
      </c>
      <c r="C22" s="400">
        <f>'t1'!L21</f>
        <v>1</v>
      </c>
      <c r="D22" s="400">
        <f>'t7'!U21</f>
        <v>1</v>
      </c>
      <c r="E22" s="401">
        <f>'t8'!Y21</f>
        <v>1</v>
      </c>
      <c r="F22" s="401">
        <f>'t9'!O21</f>
        <v>1</v>
      </c>
      <c r="G22" s="109" t="str">
        <f t="shared" si="0"/>
        <v>OK</v>
      </c>
      <c r="H22" s="401">
        <f>'t1'!M21</f>
        <v>1</v>
      </c>
      <c r="I22" s="401">
        <f>'t7'!V21</f>
        <v>1</v>
      </c>
      <c r="J22" s="401">
        <f>'t8'!Z21</f>
        <v>1</v>
      </c>
      <c r="K22" s="400">
        <f>'t9'!P21</f>
        <v>1</v>
      </c>
      <c r="L22" s="109" t="str">
        <f t="shared" si="1"/>
        <v>OK</v>
      </c>
    </row>
    <row r="23" spans="1:12" ht="13.5" customHeight="1">
      <c r="A23" s="147" t="str">
        <f>'t1'!A22</f>
        <v>POSIZIONE ECONOMICA D3</v>
      </c>
      <c r="B23" s="205" t="str">
        <f>'t1'!B22</f>
        <v>050000</v>
      </c>
      <c r="C23" s="400">
        <f>'t1'!L22</f>
        <v>8</v>
      </c>
      <c r="D23" s="400">
        <f>'t7'!U22</f>
        <v>8</v>
      </c>
      <c r="E23" s="401">
        <f>'t8'!Y22</f>
        <v>8</v>
      </c>
      <c r="F23" s="401">
        <f>'t9'!O22</f>
        <v>8</v>
      </c>
      <c r="G23" s="109" t="str">
        <f t="shared" si="0"/>
        <v>OK</v>
      </c>
      <c r="H23" s="401">
        <f>'t1'!M22</f>
        <v>4</v>
      </c>
      <c r="I23" s="401">
        <f>'t7'!V22</f>
        <v>4</v>
      </c>
      <c r="J23" s="401">
        <f>'t8'!Z22</f>
        <v>4</v>
      </c>
      <c r="K23" s="400">
        <f>'t9'!P22</f>
        <v>4</v>
      </c>
      <c r="L23" s="109" t="str">
        <f t="shared" si="1"/>
        <v>OK</v>
      </c>
    </row>
    <row r="24" spans="1:12" ht="13.5" customHeight="1">
      <c r="A24" s="147" t="str">
        <f>'t1'!A23</f>
        <v>POSIZIONE ECONOMICA D2</v>
      </c>
      <c r="B24" s="205" t="str">
        <f>'t1'!B23</f>
        <v>049000</v>
      </c>
      <c r="C24" s="400">
        <f>'t1'!L23</f>
        <v>33</v>
      </c>
      <c r="D24" s="400">
        <f>'t7'!U23</f>
        <v>33</v>
      </c>
      <c r="E24" s="401">
        <f>'t8'!Y23</f>
        <v>33</v>
      </c>
      <c r="F24" s="401">
        <f>'t9'!O23</f>
        <v>33</v>
      </c>
      <c r="G24" s="109" t="str">
        <f t="shared" si="0"/>
        <v>OK</v>
      </c>
      <c r="H24" s="401">
        <f>'t1'!M23</f>
        <v>7</v>
      </c>
      <c r="I24" s="401">
        <f>'t7'!V23</f>
        <v>7</v>
      </c>
      <c r="J24" s="401">
        <f>'t8'!Z23</f>
        <v>7</v>
      </c>
      <c r="K24" s="400">
        <f>'t9'!P23</f>
        <v>7</v>
      </c>
      <c r="L24" s="109" t="str">
        <f t="shared" si="1"/>
        <v>OK</v>
      </c>
    </row>
    <row r="25" spans="1:12" ht="13.5" customHeight="1">
      <c r="A25" s="147" t="str">
        <f>'t1'!A24</f>
        <v>POSIZIONE ECONOMICA DI ACCESSO D1</v>
      </c>
      <c r="B25" s="205" t="str">
        <f>'t1'!B24</f>
        <v>057000</v>
      </c>
      <c r="C25" s="400">
        <f>'t1'!L24</f>
        <v>2</v>
      </c>
      <c r="D25" s="400">
        <f>'t7'!U24</f>
        <v>2</v>
      </c>
      <c r="E25" s="401">
        <f>'t8'!Y24</f>
        <v>2</v>
      </c>
      <c r="F25" s="401">
        <f>'t9'!O24</f>
        <v>2</v>
      </c>
      <c r="G25" s="109" t="str">
        <f t="shared" si="0"/>
        <v>OK</v>
      </c>
      <c r="H25" s="401">
        <f>'t1'!M24</f>
        <v>1</v>
      </c>
      <c r="I25" s="401">
        <f>'t7'!V24</f>
        <v>1</v>
      </c>
      <c r="J25" s="401">
        <f>'t8'!Z24</f>
        <v>1</v>
      </c>
      <c r="K25" s="400">
        <f>'t9'!P24</f>
        <v>1</v>
      </c>
      <c r="L25" s="109" t="str">
        <f t="shared" si="1"/>
        <v>OK</v>
      </c>
    </row>
    <row r="26" spans="1:12" ht="13.5" customHeight="1">
      <c r="A26" s="147" t="str">
        <f>'t1'!A25</f>
        <v>POSIZIONE ECONOMICA C5</v>
      </c>
      <c r="B26" s="205" t="str">
        <f>'t1'!B25</f>
        <v>046000</v>
      </c>
      <c r="C26" s="400">
        <f>'t1'!L25</f>
        <v>4</v>
      </c>
      <c r="D26" s="400">
        <f>'t7'!U25</f>
        <v>4</v>
      </c>
      <c r="E26" s="401">
        <f>'t8'!Y25</f>
        <v>4</v>
      </c>
      <c r="F26" s="401">
        <f>'t9'!O25</f>
        <v>4</v>
      </c>
      <c r="G26" s="109" t="str">
        <f t="shared" si="0"/>
        <v>OK</v>
      </c>
      <c r="H26" s="401">
        <f>'t1'!M25</f>
        <v>0</v>
      </c>
      <c r="I26" s="401">
        <f>'t7'!V25</f>
        <v>0</v>
      </c>
      <c r="J26" s="401">
        <f>'t8'!Z25</f>
        <v>0</v>
      </c>
      <c r="K26" s="400">
        <f>'t9'!P25</f>
        <v>0</v>
      </c>
      <c r="L26" s="109" t="str">
        <f t="shared" si="1"/>
        <v>OK</v>
      </c>
    </row>
    <row r="27" spans="1:12" ht="13.5" customHeight="1">
      <c r="A27" s="147" t="str">
        <f>'t1'!A26</f>
        <v>POSIZIONE ECONOMICA C4</v>
      </c>
      <c r="B27" s="205" t="str">
        <f>'t1'!B26</f>
        <v>045000</v>
      </c>
      <c r="C27" s="400">
        <f>'t1'!L26</f>
        <v>17</v>
      </c>
      <c r="D27" s="400">
        <f>'t7'!U26</f>
        <v>17</v>
      </c>
      <c r="E27" s="401">
        <f>'t8'!Y26</f>
        <v>17</v>
      </c>
      <c r="F27" s="401">
        <f>'t9'!O26</f>
        <v>17</v>
      </c>
      <c r="G27" s="109" t="str">
        <f t="shared" si="0"/>
        <v>OK</v>
      </c>
      <c r="H27" s="401">
        <f>'t1'!M26</f>
        <v>3</v>
      </c>
      <c r="I27" s="401">
        <f>'t7'!V26</f>
        <v>3</v>
      </c>
      <c r="J27" s="401">
        <f>'t8'!Z26</f>
        <v>3</v>
      </c>
      <c r="K27" s="400">
        <f>'t9'!P26</f>
        <v>3</v>
      </c>
      <c r="L27" s="109" t="str">
        <f t="shared" si="1"/>
        <v>OK</v>
      </c>
    </row>
    <row r="28" spans="1:12" ht="13.5" customHeight="1">
      <c r="A28" s="147" t="str">
        <f>'t1'!A27</f>
        <v>POSIZIONE ECONOMICA C3</v>
      </c>
      <c r="B28" s="205" t="str">
        <f>'t1'!B27</f>
        <v>043000</v>
      </c>
      <c r="C28" s="400">
        <f>'t1'!L27</f>
        <v>18</v>
      </c>
      <c r="D28" s="400">
        <f>'t7'!U27</f>
        <v>18</v>
      </c>
      <c r="E28" s="401">
        <f>'t8'!Y27</f>
        <v>18</v>
      </c>
      <c r="F28" s="401">
        <f>'t9'!O27</f>
        <v>18</v>
      </c>
      <c r="G28" s="109" t="str">
        <f t="shared" si="0"/>
        <v>OK</v>
      </c>
      <c r="H28" s="401">
        <f>'t1'!M27</f>
        <v>13</v>
      </c>
      <c r="I28" s="401">
        <f>'t7'!V27</f>
        <v>13</v>
      </c>
      <c r="J28" s="401">
        <f>'t8'!Z27</f>
        <v>13</v>
      </c>
      <c r="K28" s="400">
        <f>'t9'!P27</f>
        <v>13</v>
      </c>
      <c r="L28" s="109" t="str">
        <f t="shared" si="1"/>
        <v>OK</v>
      </c>
    </row>
    <row r="29" spans="1:12" ht="13.5" customHeight="1">
      <c r="A29" s="147" t="str">
        <f>'t1'!A28</f>
        <v>POSIZIONE ECONOMICA C2</v>
      </c>
      <c r="B29" s="205" t="str">
        <f>'t1'!B28</f>
        <v>042000</v>
      </c>
      <c r="C29" s="400">
        <f>'t1'!L28</f>
        <v>23</v>
      </c>
      <c r="D29" s="400">
        <f>'t7'!U28</f>
        <v>23</v>
      </c>
      <c r="E29" s="401">
        <f>'t8'!Y28</f>
        <v>23</v>
      </c>
      <c r="F29" s="401">
        <f>'t9'!O28</f>
        <v>23</v>
      </c>
      <c r="G29" s="109" t="str">
        <f t="shared" si="0"/>
        <v>OK</v>
      </c>
      <c r="H29" s="401">
        <f>'t1'!M28</f>
        <v>16</v>
      </c>
      <c r="I29" s="401">
        <f>'t7'!V28</f>
        <v>16</v>
      </c>
      <c r="J29" s="401">
        <f>'t8'!Z28</f>
        <v>16</v>
      </c>
      <c r="K29" s="400">
        <f>'t9'!P28</f>
        <v>16</v>
      </c>
      <c r="L29" s="109" t="str">
        <f t="shared" si="1"/>
        <v>OK</v>
      </c>
    </row>
    <row r="30" spans="1:12" ht="13.5" customHeight="1">
      <c r="A30" s="147" t="str">
        <f>'t1'!A29</f>
        <v>POSIZIONE ECONOMICA DI ACCESSO C1</v>
      </c>
      <c r="B30" s="205" t="str">
        <f>'t1'!B29</f>
        <v>056000</v>
      </c>
      <c r="C30" s="400">
        <f>'t1'!L29</f>
        <v>0</v>
      </c>
      <c r="D30" s="400">
        <f>'t7'!U29</f>
        <v>0</v>
      </c>
      <c r="E30" s="401">
        <f>'t8'!Y29</f>
        <v>0</v>
      </c>
      <c r="F30" s="401">
        <f>'t9'!O29</f>
        <v>0</v>
      </c>
      <c r="G30" s="109" t="str">
        <f t="shared" si="0"/>
        <v>OK</v>
      </c>
      <c r="H30" s="401">
        <f>'t1'!M29</f>
        <v>0</v>
      </c>
      <c r="I30" s="401">
        <f>'t7'!V29</f>
        <v>0</v>
      </c>
      <c r="J30" s="401">
        <f>'t8'!Z29</f>
        <v>0</v>
      </c>
      <c r="K30" s="400">
        <f>'t9'!P29</f>
        <v>0</v>
      </c>
      <c r="L30" s="109" t="str">
        <f t="shared" si="1"/>
        <v>OK</v>
      </c>
    </row>
    <row r="31" spans="1:12" ht="13.5" customHeight="1">
      <c r="A31" s="147" t="str">
        <f>'t1'!A30</f>
        <v>POSIZ. ECON. B7 - PROFILO ACCESSO B3</v>
      </c>
      <c r="B31" s="205" t="str">
        <f>'t1'!B30</f>
        <v>0B7A00</v>
      </c>
      <c r="C31" s="400">
        <f>'t1'!L30</f>
        <v>0</v>
      </c>
      <c r="D31" s="400">
        <f>'t7'!U30</f>
        <v>0</v>
      </c>
      <c r="E31" s="401">
        <f>'t8'!Y30</f>
        <v>0</v>
      </c>
      <c r="F31" s="401">
        <f>'t9'!O30</f>
        <v>0</v>
      </c>
      <c r="G31" s="109" t="str">
        <f t="shared" si="0"/>
        <v>OK</v>
      </c>
      <c r="H31" s="401">
        <f>'t1'!M30</f>
        <v>0</v>
      </c>
      <c r="I31" s="401">
        <f>'t7'!V30</f>
        <v>0</v>
      </c>
      <c r="J31" s="401">
        <f>'t8'!Z30</f>
        <v>0</v>
      </c>
      <c r="K31" s="400">
        <f>'t9'!P30</f>
        <v>0</v>
      </c>
      <c r="L31" s="109" t="str">
        <f t="shared" si="1"/>
        <v>OK</v>
      </c>
    </row>
    <row r="32" spans="1:12" ht="13.5" customHeight="1">
      <c r="A32" s="147" t="str">
        <f>'t1'!A31</f>
        <v>POSIZ. ECON. B7 - PROFILO  ACCESSO B1</v>
      </c>
      <c r="B32" s="205" t="str">
        <f>'t1'!B31</f>
        <v>0B7000</v>
      </c>
      <c r="C32" s="400">
        <f>'t1'!L31</f>
        <v>0</v>
      </c>
      <c r="D32" s="400">
        <f>'t7'!U31</f>
        <v>0</v>
      </c>
      <c r="E32" s="401">
        <f>'t8'!Y31</f>
        <v>0</v>
      </c>
      <c r="F32" s="401">
        <f>'t9'!O31</f>
        <v>0</v>
      </c>
      <c r="G32" s="109" t="str">
        <f t="shared" si="0"/>
        <v>OK</v>
      </c>
      <c r="H32" s="401">
        <f>'t1'!M31</f>
        <v>0</v>
      </c>
      <c r="I32" s="401">
        <f>'t7'!V31</f>
        <v>0</v>
      </c>
      <c r="J32" s="401">
        <f>'t8'!Z31</f>
        <v>0</v>
      </c>
      <c r="K32" s="400">
        <f>'t9'!P31</f>
        <v>0</v>
      </c>
      <c r="L32" s="109" t="str">
        <f t="shared" si="1"/>
        <v>OK</v>
      </c>
    </row>
    <row r="33" spans="1:12" ht="13.5" customHeight="1">
      <c r="A33" s="147" t="str">
        <f>'t1'!A32</f>
        <v>POSIZ.ECON. B6 PROFILI ACCESSO B3</v>
      </c>
      <c r="B33" s="205" t="str">
        <f>'t1'!B32</f>
        <v>038490</v>
      </c>
      <c r="C33" s="400">
        <f>'t1'!L32</f>
        <v>0</v>
      </c>
      <c r="D33" s="400">
        <f>'t7'!U32</f>
        <v>0</v>
      </c>
      <c r="E33" s="401">
        <f>'t8'!Y32</f>
        <v>0</v>
      </c>
      <c r="F33" s="401">
        <f>'t9'!O32</f>
        <v>0</v>
      </c>
      <c r="G33" s="109" t="str">
        <f t="shared" si="0"/>
        <v>OK</v>
      </c>
      <c r="H33" s="401">
        <f>'t1'!M32</f>
        <v>0</v>
      </c>
      <c r="I33" s="401">
        <f>'t7'!V32</f>
        <v>0</v>
      </c>
      <c r="J33" s="401">
        <f>'t8'!Z32</f>
        <v>0</v>
      </c>
      <c r="K33" s="400">
        <f>'t9'!P32</f>
        <v>0</v>
      </c>
      <c r="L33" s="109" t="str">
        <f t="shared" si="1"/>
        <v>OK</v>
      </c>
    </row>
    <row r="34" spans="1:12" ht="13.5" customHeight="1">
      <c r="A34" s="147" t="str">
        <f>'t1'!A33</f>
        <v>POSIZ.ECON. B6 PROFILI ACCESSO B1</v>
      </c>
      <c r="B34" s="205" t="str">
        <f>'t1'!B33</f>
        <v>038491</v>
      </c>
      <c r="C34" s="400">
        <f>'t1'!L33</f>
        <v>0</v>
      </c>
      <c r="D34" s="400">
        <f>'t7'!U33</f>
        <v>0</v>
      </c>
      <c r="E34" s="401">
        <f>'t8'!Y33</f>
        <v>0</v>
      </c>
      <c r="F34" s="401">
        <f>'t9'!O33</f>
        <v>0</v>
      </c>
      <c r="G34" s="109" t="str">
        <f t="shared" si="0"/>
        <v>OK</v>
      </c>
      <c r="H34" s="401">
        <f>'t1'!M33</f>
        <v>0</v>
      </c>
      <c r="I34" s="401">
        <f>'t7'!V33</f>
        <v>0</v>
      </c>
      <c r="J34" s="401">
        <f>'t8'!Z33</f>
        <v>0</v>
      </c>
      <c r="K34" s="400">
        <f>'t9'!P33</f>
        <v>0</v>
      </c>
      <c r="L34" s="109" t="str">
        <f t="shared" si="1"/>
        <v>OK</v>
      </c>
    </row>
    <row r="35" spans="1:12" ht="13.5" customHeight="1">
      <c r="A35" s="147" t="str">
        <f>'t1'!A34</f>
        <v>POSIZ.ECON. B5 PROFILI ACCESSO B3</v>
      </c>
      <c r="B35" s="205" t="str">
        <f>'t1'!B34</f>
        <v>037492</v>
      </c>
      <c r="C35" s="400">
        <f>'t1'!L34</f>
        <v>1</v>
      </c>
      <c r="D35" s="400">
        <f>'t7'!U34</f>
        <v>1</v>
      </c>
      <c r="E35" s="401">
        <f>'t8'!Y34</f>
        <v>1</v>
      </c>
      <c r="F35" s="401">
        <f>'t9'!O34</f>
        <v>1</v>
      </c>
      <c r="G35" s="109" t="str">
        <f t="shared" si="0"/>
        <v>OK</v>
      </c>
      <c r="H35" s="401">
        <f>'t1'!M34</f>
        <v>0</v>
      </c>
      <c r="I35" s="401">
        <f>'t7'!V34</f>
        <v>0</v>
      </c>
      <c r="J35" s="401">
        <f>'t8'!Z34</f>
        <v>0</v>
      </c>
      <c r="K35" s="400">
        <f>'t9'!P34</f>
        <v>0</v>
      </c>
      <c r="L35" s="109" t="str">
        <f t="shared" si="1"/>
        <v>OK</v>
      </c>
    </row>
    <row r="36" spans="1:12" ht="13.5" customHeight="1">
      <c r="A36" s="147" t="str">
        <f>'t1'!A35</f>
        <v>POSIZ.ECON. B5 PROFILI ACCESSO B1</v>
      </c>
      <c r="B36" s="205" t="str">
        <f>'t1'!B35</f>
        <v>037493</v>
      </c>
      <c r="C36" s="400">
        <f>'t1'!L35</f>
        <v>0</v>
      </c>
      <c r="D36" s="400">
        <f>'t7'!U35</f>
        <v>0</v>
      </c>
      <c r="E36" s="401">
        <f>'t8'!Y35</f>
        <v>0</v>
      </c>
      <c r="F36" s="401">
        <f>'t9'!O35</f>
        <v>0</v>
      </c>
      <c r="G36" s="109" t="str">
        <f t="shared" si="0"/>
        <v>OK</v>
      </c>
      <c r="H36" s="401">
        <f>'t1'!M35</f>
        <v>0</v>
      </c>
      <c r="I36" s="401">
        <f>'t7'!V35</f>
        <v>0</v>
      </c>
      <c r="J36" s="401">
        <f>'t8'!Z35</f>
        <v>0</v>
      </c>
      <c r="K36" s="400">
        <f>'t9'!P35</f>
        <v>0</v>
      </c>
      <c r="L36" s="109" t="str">
        <f t="shared" si="1"/>
        <v>OK</v>
      </c>
    </row>
    <row r="37" spans="1:12" ht="13.5" customHeight="1">
      <c r="A37" s="147" t="str">
        <f>'t1'!A36</f>
        <v>POSIZ.ECON. B4 PROFILI ACCESSO B3</v>
      </c>
      <c r="B37" s="205" t="str">
        <f>'t1'!B36</f>
        <v>036494</v>
      </c>
      <c r="C37" s="400">
        <f>'t1'!L36</f>
        <v>30</v>
      </c>
      <c r="D37" s="400">
        <f>'t7'!U36</f>
        <v>30</v>
      </c>
      <c r="E37" s="401">
        <f>'t8'!Y36</f>
        <v>30</v>
      </c>
      <c r="F37" s="401">
        <f>'t9'!O36</f>
        <v>30</v>
      </c>
      <c r="G37" s="109" t="str">
        <f t="shared" si="0"/>
        <v>OK</v>
      </c>
      <c r="H37" s="401">
        <f>'t1'!M36</f>
        <v>0</v>
      </c>
      <c r="I37" s="401">
        <f>'t7'!V36</f>
        <v>0</v>
      </c>
      <c r="J37" s="401">
        <f>'t8'!Z36</f>
        <v>0</v>
      </c>
      <c r="K37" s="400">
        <f>'t9'!P36</f>
        <v>0</v>
      </c>
      <c r="L37" s="109" t="str">
        <f t="shared" si="1"/>
        <v>OK</v>
      </c>
    </row>
    <row r="38" spans="1:12" ht="13.5" customHeight="1">
      <c r="A38" s="147" t="str">
        <f>'t1'!A37</f>
        <v>POSIZ.ECON. B4 PROFILI ACCESSO B1</v>
      </c>
      <c r="B38" s="205" t="str">
        <f>'t1'!B37</f>
        <v>036495</v>
      </c>
      <c r="C38" s="400">
        <f>'t1'!L37</f>
        <v>1</v>
      </c>
      <c r="D38" s="400">
        <f>'t7'!U37</f>
        <v>1</v>
      </c>
      <c r="E38" s="401">
        <f>'t8'!Y37</f>
        <v>1</v>
      </c>
      <c r="F38" s="401">
        <f>'t9'!O37</f>
        <v>1</v>
      </c>
      <c r="G38" s="109" t="str">
        <f t="shared" si="0"/>
        <v>OK</v>
      </c>
      <c r="H38" s="401">
        <f>'t1'!M37</f>
        <v>1</v>
      </c>
      <c r="I38" s="401">
        <f>'t7'!V37</f>
        <v>1</v>
      </c>
      <c r="J38" s="401">
        <f>'t8'!Z37</f>
        <v>1</v>
      </c>
      <c r="K38" s="400">
        <f>'t9'!P37</f>
        <v>1</v>
      </c>
      <c r="L38" s="109" t="str">
        <f t="shared" si="1"/>
        <v>OK</v>
      </c>
    </row>
    <row r="39" spans="1:12" ht="13.5" customHeight="1">
      <c r="A39" s="147" t="str">
        <f>'t1'!A38</f>
        <v>POSIZIONE ECONOMICA DI ACCESSO B3</v>
      </c>
      <c r="B39" s="205" t="str">
        <f>'t1'!B38</f>
        <v>055000</v>
      </c>
      <c r="C39" s="400">
        <f>'t1'!L38</f>
        <v>12</v>
      </c>
      <c r="D39" s="400">
        <f>'t7'!U38</f>
        <v>12</v>
      </c>
      <c r="E39" s="401">
        <f>'t8'!Y38</f>
        <v>12</v>
      </c>
      <c r="F39" s="401">
        <f>'t9'!O38</f>
        <v>12</v>
      </c>
      <c r="G39" s="109" t="str">
        <f t="shared" si="0"/>
        <v>OK</v>
      </c>
      <c r="H39" s="401">
        <f>'t1'!M38</f>
        <v>0</v>
      </c>
      <c r="I39" s="401">
        <f>'t7'!V38</f>
        <v>0</v>
      </c>
      <c r="J39" s="401">
        <f>'t8'!Z38</f>
        <v>0</v>
      </c>
      <c r="K39" s="400">
        <f>'t9'!P38</f>
        <v>0</v>
      </c>
      <c r="L39" s="109" t="str">
        <f t="shared" si="1"/>
        <v>OK</v>
      </c>
    </row>
    <row r="40" spans="1:12" ht="13.5" customHeight="1">
      <c r="A40" s="147" t="str">
        <f>'t1'!A39</f>
        <v>POSIZIONE ECONOMICA B3</v>
      </c>
      <c r="B40" s="205" t="str">
        <f>'t1'!B39</f>
        <v>034000</v>
      </c>
      <c r="C40" s="400">
        <f>'t1'!L39</f>
        <v>8</v>
      </c>
      <c r="D40" s="400">
        <f>'t7'!U39</f>
        <v>8</v>
      </c>
      <c r="E40" s="401">
        <f>'t8'!Y39</f>
        <v>8</v>
      </c>
      <c r="F40" s="401">
        <f>'t9'!O39</f>
        <v>8</v>
      </c>
      <c r="G40" s="109" t="str">
        <f t="shared" si="0"/>
        <v>OK</v>
      </c>
      <c r="H40" s="401">
        <f>'t1'!M39</f>
        <v>5</v>
      </c>
      <c r="I40" s="401">
        <f>'t7'!V39</f>
        <v>5</v>
      </c>
      <c r="J40" s="401">
        <f>'t8'!Z39</f>
        <v>5</v>
      </c>
      <c r="K40" s="400">
        <f>'t9'!P39</f>
        <v>5</v>
      </c>
      <c r="L40" s="109" t="str">
        <f t="shared" si="1"/>
        <v>OK</v>
      </c>
    </row>
    <row r="41" spans="1:12" ht="13.5" customHeight="1">
      <c r="A41" s="147" t="str">
        <f>'t1'!A40</f>
        <v>POSIZIONE ECONOMICA B2</v>
      </c>
      <c r="B41" s="205" t="str">
        <f>'t1'!B40</f>
        <v>032000</v>
      </c>
      <c r="C41" s="400">
        <f>'t1'!L40</f>
        <v>4</v>
      </c>
      <c r="D41" s="400">
        <f>'t7'!U40</f>
        <v>4</v>
      </c>
      <c r="E41" s="401">
        <f>'t8'!Y40</f>
        <v>4</v>
      </c>
      <c r="F41" s="401">
        <f>'t9'!O40</f>
        <v>4</v>
      </c>
      <c r="G41" s="109" t="str">
        <f aca="true" t="shared" si="2" ref="G41:G49">IF(COUNTIF(C41:F41,C41)=4,"OK","ERRORE")</f>
        <v>OK</v>
      </c>
      <c r="H41" s="401">
        <f>'t1'!M40</f>
        <v>6</v>
      </c>
      <c r="I41" s="401">
        <f>'t7'!V40</f>
        <v>6</v>
      </c>
      <c r="J41" s="401">
        <f>'t8'!Z40</f>
        <v>6</v>
      </c>
      <c r="K41" s="400">
        <f>'t9'!P40</f>
        <v>6</v>
      </c>
      <c r="L41" s="109" t="str">
        <f aca="true" t="shared" si="3" ref="L41:L49">IF(COUNTIF(H41:K41,H41)=4,"OK","ERRORE")</f>
        <v>OK</v>
      </c>
    </row>
    <row r="42" spans="1:12" ht="13.5" customHeight="1">
      <c r="A42" s="147" t="str">
        <f>'t1'!A41</f>
        <v>POSIZIONE ECONOMICA DI ACCESSO B1</v>
      </c>
      <c r="B42" s="205" t="str">
        <f>'t1'!B41</f>
        <v>054000</v>
      </c>
      <c r="C42" s="400">
        <f>'t1'!L41</f>
        <v>0</v>
      </c>
      <c r="D42" s="400">
        <f>'t7'!U41</f>
        <v>0</v>
      </c>
      <c r="E42" s="401">
        <f>'t8'!Y41</f>
        <v>0</v>
      </c>
      <c r="F42" s="401">
        <f>'t9'!O41</f>
        <v>0</v>
      </c>
      <c r="G42" s="109" t="str">
        <f t="shared" si="2"/>
        <v>OK</v>
      </c>
      <c r="H42" s="401">
        <f>'t1'!M41</f>
        <v>1</v>
      </c>
      <c r="I42" s="401">
        <f>'t7'!V41</f>
        <v>1</v>
      </c>
      <c r="J42" s="401">
        <f>'t8'!Z41</f>
        <v>1</v>
      </c>
      <c r="K42" s="400">
        <f>'t9'!P41</f>
        <v>1</v>
      </c>
      <c r="L42" s="109" t="str">
        <f t="shared" si="3"/>
        <v>OK</v>
      </c>
    </row>
    <row r="43" spans="1:12" ht="13.5" customHeight="1">
      <c r="A43" s="147" t="str">
        <f>'t1'!A42</f>
        <v>POSIZIONE ECONOMICA A5</v>
      </c>
      <c r="B43" s="205" t="str">
        <f>'t1'!B42</f>
        <v>0A5000</v>
      </c>
      <c r="C43" s="400">
        <f>'t1'!L42</f>
        <v>0</v>
      </c>
      <c r="D43" s="400">
        <f>'t7'!U42</f>
        <v>0</v>
      </c>
      <c r="E43" s="401">
        <f>'t8'!Y42</f>
        <v>0</v>
      </c>
      <c r="F43" s="401">
        <f>'t9'!O42</f>
        <v>0</v>
      </c>
      <c r="G43" s="109" t="str">
        <f t="shared" si="2"/>
        <v>OK</v>
      </c>
      <c r="H43" s="401">
        <f>'t1'!M42</f>
        <v>0</v>
      </c>
      <c r="I43" s="401">
        <f>'t7'!V42</f>
        <v>0</v>
      </c>
      <c r="J43" s="401">
        <f>'t8'!Z42</f>
        <v>0</v>
      </c>
      <c r="K43" s="400">
        <f>'t9'!P42</f>
        <v>0</v>
      </c>
      <c r="L43" s="109" t="str">
        <f t="shared" si="3"/>
        <v>OK</v>
      </c>
    </row>
    <row r="44" spans="1:12" ht="13.5" customHeight="1">
      <c r="A44" s="147" t="str">
        <f>'t1'!A43</f>
        <v>POSIZIONE ECONOMICA A4</v>
      </c>
      <c r="B44" s="205" t="str">
        <f>'t1'!B43</f>
        <v>028000</v>
      </c>
      <c r="C44" s="400">
        <f>'t1'!L43</f>
        <v>0</v>
      </c>
      <c r="D44" s="400">
        <f>'t7'!U43</f>
        <v>0</v>
      </c>
      <c r="E44" s="401">
        <f>'t8'!Y43</f>
        <v>0</v>
      </c>
      <c r="F44" s="401">
        <f>'t9'!O43</f>
        <v>0</v>
      </c>
      <c r="G44" s="109" t="str">
        <f t="shared" si="2"/>
        <v>OK</v>
      </c>
      <c r="H44" s="401">
        <f>'t1'!M43</f>
        <v>0</v>
      </c>
      <c r="I44" s="401">
        <f>'t7'!V43</f>
        <v>0</v>
      </c>
      <c r="J44" s="401">
        <f>'t8'!Z43</f>
        <v>0</v>
      </c>
      <c r="K44" s="400">
        <f>'t9'!P43</f>
        <v>0</v>
      </c>
      <c r="L44" s="109" t="str">
        <f t="shared" si="3"/>
        <v>OK</v>
      </c>
    </row>
    <row r="45" spans="1:12" ht="13.5" customHeight="1">
      <c r="A45" s="147" t="str">
        <f>'t1'!A44</f>
        <v>POSIZIONE ECONOMICA A3</v>
      </c>
      <c r="B45" s="205" t="str">
        <f>'t1'!B44</f>
        <v>027000</v>
      </c>
      <c r="C45" s="400">
        <f>'t1'!L44</f>
        <v>0</v>
      </c>
      <c r="D45" s="400">
        <f>'t7'!U44</f>
        <v>0</v>
      </c>
      <c r="E45" s="401">
        <f>'t8'!Y44</f>
        <v>0</v>
      </c>
      <c r="F45" s="401">
        <f>'t9'!O44</f>
        <v>0</v>
      </c>
      <c r="G45" s="109" t="str">
        <f t="shared" si="2"/>
        <v>OK</v>
      </c>
      <c r="H45" s="401">
        <f>'t1'!M44</f>
        <v>0</v>
      </c>
      <c r="I45" s="401">
        <f>'t7'!V44</f>
        <v>0</v>
      </c>
      <c r="J45" s="401">
        <f>'t8'!Z44</f>
        <v>0</v>
      </c>
      <c r="K45" s="400">
        <f>'t9'!P44</f>
        <v>0</v>
      </c>
      <c r="L45" s="109" t="str">
        <f t="shared" si="3"/>
        <v>OK</v>
      </c>
    </row>
    <row r="46" spans="1:12" ht="13.5" customHeight="1">
      <c r="A46" s="147" t="str">
        <f>'t1'!A45</f>
        <v>POSIZIONE ECONOMICA A2</v>
      </c>
      <c r="B46" s="205" t="str">
        <f>'t1'!B45</f>
        <v>025000</v>
      </c>
      <c r="C46" s="400">
        <f>'t1'!L45</f>
        <v>0</v>
      </c>
      <c r="D46" s="400">
        <f>'t7'!U45</f>
        <v>0</v>
      </c>
      <c r="E46" s="401">
        <f>'t8'!Y45</f>
        <v>0</v>
      </c>
      <c r="F46" s="401">
        <f>'t9'!O45</f>
        <v>0</v>
      </c>
      <c r="G46" s="109" t="str">
        <f t="shared" si="2"/>
        <v>OK</v>
      </c>
      <c r="H46" s="401">
        <f>'t1'!M45</f>
        <v>0</v>
      </c>
      <c r="I46" s="401">
        <f>'t7'!V45</f>
        <v>0</v>
      </c>
      <c r="J46" s="401">
        <f>'t8'!Z45</f>
        <v>0</v>
      </c>
      <c r="K46" s="400">
        <f>'t9'!P45</f>
        <v>0</v>
      </c>
      <c r="L46" s="109" t="str">
        <f t="shared" si="3"/>
        <v>OK</v>
      </c>
    </row>
    <row r="47" spans="1:12" ht="13.5" customHeight="1">
      <c r="A47" s="147" t="str">
        <f>'t1'!A46</f>
        <v>POSIZIONE ECONOMICA DI ACCESSO A1</v>
      </c>
      <c r="B47" s="205" t="str">
        <f>'t1'!B46</f>
        <v>053000</v>
      </c>
      <c r="C47" s="400">
        <f>'t1'!L46</f>
        <v>1</v>
      </c>
      <c r="D47" s="400">
        <f>'t7'!U46</f>
        <v>1</v>
      </c>
      <c r="E47" s="401">
        <f>'t8'!Y46</f>
        <v>1</v>
      </c>
      <c r="F47" s="401">
        <f>'t9'!O46</f>
        <v>1</v>
      </c>
      <c r="G47" s="109" t="str">
        <f t="shared" si="2"/>
        <v>OK</v>
      </c>
      <c r="H47" s="401">
        <f>'t1'!M46</f>
        <v>0</v>
      </c>
      <c r="I47" s="401">
        <f>'t7'!V46</f>
        <v>0</v>
      </c>
      <c r="J47" s="401">
        <f>'t8'!Z46</f>
        <v>0</v>
      </c>
      <c r="K47" s="400">
        <f>'t9'!P46</f>
        <v>0</v>
      </c>
      <c r="L47" s="109" t="str">
        <f t="shared" si="3"/>
        <v>OK</v>
      </c>
    </row>
    <row r="48" spans="1:12" ht="13.5" customHeight="1">
      <c r="A48" s="147" t="str">
        <f>'t1'!A47</f>
        <v>CONTRATTISTI (a)</v>
      </c>
      <c r="B48" s="205" t="str">
        <f>'t1'!B47</f>
        <v>000061</v>
      </c>
      <c r="C48" s="400">
        <f>'t1'!L47</f>
        <v>2</v>
      </c>
      <c r="D48" s="400">
        <f>'t7'!U47</f>
        <v>2</v>
      </c>
      <c r="E48" s="401">
        <f>'t8'!Y47</f>
        <v>2</v>
      </c>
      <c r="F48" s="401">
        <f>'t9'!O47</f>
        <v>2</v>
      </c>
      <c r="G48" s="109" t="str">
        <f t="shared" si="2"/>
        <v>OK</v>
      </c>
      <c r="H48" s="401">
        <f>'t1'!M47</f>
        <v>0</v>
      </c>
      <c r="I48" s="401">
        <f>'t7'!V47</f>
        <v>0</v>
      </c>
      <c r="J48" s="401">
        <f>'t8'!Z47</f>
        <v>0</v>
      </c>
      <c r="K48" s="400">
        <f>'t9'!P47</f>
        <v>0</v>
      </c>
      <c r="L48" s="109" t="str">
        <f t="shared" si="3"/>
        <v>OK</v>
      </c>
    </row>
    <row r="49" spans="1:12" ht="13.5" customHeight="1">
      <c r="A49" s="147" t="str">
        <f>'t1'!A48</f>
        <v>COLLABORATORE A TEMPO DETERMIN. (b)</v>
      </c>
      <c r="B49" s="205" t="str">
        <f>'t1'!B48</f>
        <v>000096</v>
      </c>
      <c r="C49" s="400">
        <f>'t1'!L48</f>
        <v>0</v>
      </c>
      <c r="D49" s="400">
        <f>'t7'!U48</f>
        <v>0</v>
      </c>
      <c r="E49" s="401">
        <f>'t8'!Y48</f>
        <v>0</v>
      </c>
      <c r="F49" s="401">
        <f>'t9'!O48</f>
        <v>0</v>
      </c>
      <c r="G49" s="109" t="str">
        <f t="shared" si="2"/>
        <v>OK</v>
      </c>
      <c r="H49" s="401">
        <f>'t1'!M48</f>
        <v>0</v>
      </c>
      <c r="I49" s="401">
        <f>'t7'!V48</f>
        <v>0</v>
      </c>
      <c r="J49" s="401">
        <f>'t8'!Z48</f>
        <v>0</v>
      </c>
      <c r="K49" s="400">
        <f>'t9'!P48</f>
        <v>0</v>
      </c>
      <c r="L49" s="109" t="str">
        <f t="shared" si="3"/>
        <v>OK</v>
      </c>
    </row>
    <row r="50" spans="1:12" ht="15.75" customHeight="1">
      <c r="A50" s="147" t="str">
        <f>'t1'!A49</f>
        <v>TOTALE</v>
      </c>
      <c r="B50" s="193"/>
      <c r="C50" s="401">
        <f>SUM(C7:C49)</f>
        <v>200</v>
      </c>
      <c r="D50" s="401">
        <f>SUM(D7:D49)</f>
        <v>200</v>
      </c>
      <c r="E50" s="401">
        <f>SUM(E7:E49)</f>
        <v>200</v>
      </c>
      <c r="F50" s="401">
        <f>SUM(F7:F49)</f>
        <v>200</v>
      </c>
      <c r="G50" s="109" t="str">
        <f t="shared" si="0"/>
        <v>OK</v>
      </c>
      <c r="H50" s="401">
        <f>SUM(H7:H49)</f>
        <v>69</v>
      </c>
      <c r="I50" s="401">
        <f>SUM(I7:I49)</f>
        <v>69</v>
      </c>
      <c r="J50" s="401">
        <f>SUM(J7:J49)</f>
        <v>69</v>
      </c>
      <c r="K50" s="401">
        <f>SUM(K7:K49)</f>
        <v>69</v>
      </c>
      <c r="L50" s="109" t="str">
        <f t="shared" si="1"/>
        <v>OK</v>
      </c>
    </row>
  </sheetData>
  <sheetProtection password="EA98" sheet="1" formatColumns="0" selectLockedCells="1" selectUnlockedCells="1"/>
  <mergeCells count="4">
    <mergeCell ref="C4:G4"/>
    <mergeCell ref="H4:L4"/>
    <mergeCell ref="E2:L2"/>
    <mergeCell ref="A1:J1"/>
  </mergeCells>
  <printOptions horizontalCentered="1" verticalCentered="1"/>
  <pageMargins left="0" right="0" top="0.17" bottom="0.16" header="0.19" footer="0.17"/>
  <pageSetup fitToHeight="1" fitToWidth="1" horizontalDpi="300" verticalDpi="300" orientation="landscape" paperSize="9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4">
    <tabColor indexed="10"/>
    <pageSetUpPr fitToPage="1"/>
  </sheetPr>
  <dimension ref="A1:Z51"/>
  <sheetViews>
    <sheetView showGridLines="0" zoomScalePageLayoutView="0" workbookViewId="0" topLeftCell="A1">
      <pane xSplit="2" ySplit="7" topLeftCell="C8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A7" sqref="A7"/>
    </sheetView>
  </sheetViews>
  <sheetFormatPr defaultColWidth="9.33203125" defaultRowHeight="10.5"/>
  <cols>
    <col min="1" max="1" width="37.33203125" style="5" customWidth="1"/>
    <col min="2" max="2" width="11" style="7" customWidth="1"/>
    <col min="3" max="3" width="10.83203125" style="7" customWidth="1"/>
    <col min="4" max="5" width="12.83203125" style="7" customWidth="1"/>
    <col min="6" max="6" width="13.66015625" style="7" customWidth="1"/>
    <col min="7" max="11" width="12.83203125" style="7" customWidth="1"/>
    <col min="12" max="13" width="13.33203125" style="7" customWidth="1"/>
    <col min="14" max="14" width="10" style="7" bestFit="1" customWidth="1"/>
    <col min="15" max="15" width="10.83203125" style="7" customWidth="1"/>
    <col min="16" max="23" width="12.83203125" style="7" customWidth="1"/>
    <col min="24" max="25" width="13.33203125" style="7" customWidth="1"/>
    <col min="26" max="26" width="10" style="7" bestFit="1" customWidth="1"/>
    <col min="27" max="16384" width="9.33203125" style="5" customWidth="1"/>
  </cols>
  <sheetData>
    <row r="1" spans="1:26" ht="30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1392"/>
      <c r="M1" s="1392"/>
      <c r="N1" s="1392"/>
      <c r="O1" s="1392"/>
      <c r="P1" s="1392"/>
      <c r="Q1" s="1392"/>
      <c r="R1" s="1392"/>
      <c r="S1" s="1392"/>
      <c r="T1" s="1392"/>
      <c r="U1" s="1392"/>
      <c r="V1" s="1392"/>
      <c r="W1" s="1392"/>
      <c r="X1" s="1392"/>
      <c r="Y1" s="5"/>
      <c r="Z1" s="370"/>
    </row>
    <row r="2" spans="1:26" ht="36" customHeight="1">
      <c r="A2" s="1503" t="s">
        <v>441</v>
      </c>
      <c r="B2" s="1503"/>
      <c r="C2" s="1503"/>
      <c r="D2" s="1503"/>
      <c r="E2" s="1503"/>
      <c r="F2" s="1503"/>
      <c r="G2" s="1503"/>
      <c r="H2" s="1503"/>
      <c r="I2" s="1503"/>
      <c r="J2" s="1503"/>
      <c r="K2" s="1503"/>
      <c r="L2" s="1503"/>
      <c r="M2" s="1503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</row>
    <row r="3" spans="1:26" ht="18.75" customHeight="1">
      <c r="A3" s="215" t="str">
        <f>"Tavola di coerenza tra presenti al 31.12."&amp;'t1'!M1&amp;" rilevati in Tabella 1 e 3 con i presenti rilevati in Tabella 10 (Squadratura 3)(*)"</f>
        <v>Tavola di coerenza tra presenti al 31.12.2009 rilevati in Tabella 1 e 3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">
      <c r="A4" s="375" t="s">
        <v>243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>
      <c r="A5" s="198"/>
      <c r="B5" s="195"/>
      <c r="C5" s="1500" t="s">
        <v>278</v>
      </c>
      <c r="D5" s="1501"/>
      <c r="E5" s="1501"/>
      <c r="F5" s="1501"/>
      <c r="G5" s="1501"/>
      <c r="H5" s="1501"/>
      <c r="I5" s="1501"/>
      <c r="J5" s="1501"/>
      <c r="K5" s="1501"/>
      <c r="L5" s="1501"/>
      <c r="M5" s="1501"/>
      <c r="N5" s="1502"/>
      <c r="O5" s="1500" t="s">
        <v>279</v>
      </c>
      <c r="P5" s="1501"/>
      <c r="Q5" s="1501"/>
      <c r="R5" s="1501"/>
      <c r="S5" s="1501"/>
      <c r="T5" s="1501"/>
      <c r="U5" s="1501"/>
      <c r="V5" s="1501"/>
      <c r="W5" s="1501"/>
      <c r="X5" s="1501"/>
      <c r="Y5" s="1501"/>
      <c r="Z5" s="1502"/>
    </row>
    <row r="6" spans="1:26" s="214" customFormat="1" ht="64.5" customHeight="1">
      <c r="A6" s="202" t="s">
        <v>213</v>
      </c>
      <c r="B6" s="202" t="s">
        <v>212</v>
      </c>
      <c r="C6" s="202" t="str">
        <f>"Presenti 31.12."&amp;'t1'!M1&amp;" (Tab 1)"</f>
        <v>Presenti 31.12.2009 (Tab 1)</v>
      </c>
      <c r="D6" s="202" t="s">
        <v>226</v>
      </c>
      <c r="E6" s="202" t="s">
        <v>225</v>
      </c>
      <c r="F6" s="202" t="s">
        <v>475</v>
      </c>
      <c r="G6" s="202" t="s">
        <v>242</v>
      </c>
      <c r="H6" s="202" t="s">
        <v>227</v>
      </c>
      <c r="I6" s="202" t="s">
        <v>476</v>
      </c>
      <c r="J6" s="202" t="s">
        <v>884</v>
      </c>
      <c r="K6" s="202" t="s">
        <v>885</v>
      </c>
      <c r="L6" s="202" t="s">
        <v>244</v>
      </c>
      <c r="M6" s="202" t="s">
        <v>245</v>
      </c>
      <c r="N6" s="202" t="s">
        <v>204</v>
      </c>
      <c r="O6" s="202" t="str">
        <f>"Presenti 31.12."&amp;'t1'!M1&amp;" (Tab 1)"</f>
        <v>Presenti 31.12.2009 (Tab 1)</v>
      </c>
      <c r="P6" s="202" t="s">
        <v>226</v>
      </c>
      <c r="Q6" s="202" t="s">
        <v>225</v>
      </c>
      <c r="R6" s="202" t="s">
        <v>475</v>
      </c>
      <c r="S6" s="202" t="s">
        <v>242</v>
      </c>
      <c r="T6" s="202" t="s">
        <v>227</v>
      </c>
      <c r="U6" s="202" t="s">
        <v>476</v>
      </c>
      <c r="V6" s="202" t="s">
        <v>884</v>
      </c>
      <c r="W6" s="202" t="s">
        <v>885</v>
      </c>
      <c r="X6" s="202" t="s">
        <v>244</v>
      </c>
      <c r="Y6" s="202" t="s">
        <v>245</v>
      </c>
      <c r="Z6" s="202" t="s">
        <v>204</v>
      </c>
    </row>
    <row r="7" spans="1:26" s="212" customFormat="1" ht="21.75">
      <c r="A7" s="211"/>
      <c r="B7" s="211"/>
      <c r="C7" s="208" t="s">
        <v>214</v>
      </c>
      <c r="D7" s="208" t="s">
        <v>215</v>
      </c>
      <c r="E7" s="208" t="s">
        <v>216</v>
      </c>
      <c r="F7" s="208" t="s">
        <v>217</v>
      </c>
      <c r="G7" s="209" t="s">
        <v>218</v>
      </c>
      <c r="H7" s="209" t="s">
        <v>238</v>
      </c>
      <c r="I7" s="209" t="s">
        <v>220</v>
      </c>
      <c r="J7" s="209" t="s">
        <v>228</v>
      </c>
      <c r="K7" s="209" t="s">
        <v>229</v>
      </c>
      <c r="L7" s="209" t="s">
        <v>886</v>
      </c>
      <c r="M7" s="209" t="s">
        <v>887</v>
      </c>
      <c r="N7" s="209" t="s">
        <v>888</v>
      </c>
      <c r="O7" s="208" t="s">
        <v>230</v>
      </c>
      <c r="P7" s="208" t="s">
        <v>231</v>
      </c>
      <c r="Q7" s="208" t="s">
        <v>232</v>
      </c>
      <c r="R7" s="208" t="s">
        <v>477</v>
      </c>
      <c r="S7" s="209" t="s">
        <v>233</v>
      </c>
      <c r="T7" s="209" t="s">
        <v>478</v>
      </c>
      <c r="U7" s="209" t="s">
        <v>479</v>
      </c>
      <c r="V7" s="209" t="s">
        <v>889</v>
      </c>
      <c r="W7" s="209" t="s">
        <v>480</v>
      </c>
      <c r="X7" s="209" t="s">
        <v>890</v>
      </c>
      <c r="Y7" s="209" t="s">
        <v>891</v>
      </c>
      <c r="Z7" s="209" t="s">
        <v>892</v>
      </c>
    </row>
    <row r="8" spans="1:26" ht="13.5" customHeight="1">
      <c r="A8" s="147" t="str">
        <f>'t1'!A6</f>
        <v>SEGRETARIO A</v>
      </c>
      <c r="B8" s="205" t="str">
        <f>'t1'!B6</f>
        <v>0D0102</v>
      </c>
      <c r="C8" s="400">
        <f>'t1'!L6</f>
        <v>1</v>
      </c>
      <c r="D8" s="400">
        <f>'t3'!M6</f>
        <v>0</v>
      </c>
      <c r="E8" s="401">
        <f>'t3'!O6</f>
        <v>0</v>
      </c>
      <c r="F8" s="401">
        <f>'t3'!Q6</f>
        <v>0</v>
      </c>
      <c r="G8" s="401">
        <f>'t3'!C6</f>
        <v>0</v>
      </c>
      <c r="H8" s="401">
        <f>'t3'!E6</f>
        <v>0</v>
      </c>
      <c r="I8" s="401">
        <f>'t3'!G6</f>
        <v>0</v>
      </c>
      <c r="J8" s="401">
        <f>'t3'!I6</f>
        <v>0</v>
      </c>
      <c r="K8" s="401">
        <f>'t3'!K6</f>
        <v>0</v>
      </c>
      <c r="L8" s="401">
        <f>C8+D8+E8+F8-G8-H8-I8-J8-K8</f>
        <v>1</v>
      </c>
      <c r="M8" s="401">
        <f>'t10'!AU6</f>
        <v>0</v>
      </c>
      <c r="N8" s="109" t="str">
        <f>IF(L8=M8,"OK","ERRORE")</f>
        <v>ERRORE</v>
      </c>
      <c r="O8" s="400">
        <f>'t1'!M6</f>
        <v>0</v>
      </c>
      <c r="P8" s="400">
        <f>'t3'!N6</f>
        <v>0</v>
      </c>
      <c r="Q8" s="401">
        <f>'t3'!P6</f>
        <v>0</v>
      </c>
      <c r="R8" s="401">
        <f>'t3'!R6</f>
        <v>0</v>
      </c>
      <c r="S8" s="401">
        <f>'t3'!D6</f>
        <v>0</v>
      </c>
      <c r="T8" s="401">
        <f>'t3'!F6</f>
        <v>0</v>
      </c>
      <c r="U8" s="401">
        <f>'t3'!H6</f>
        <v>0</v>
      </c>
      <c r="V8" s="401">
        <f>'t3'!J6</f>
        <v>0</v>
      </c>
      <c r="W8" s="401">
        <f>'t3'!L6</f>
        <v>0</v>
      </c>
      <c r="X8" s="401">
        <f aca="true" t="shared" si="0" ref="X8:X49">O8+P8+Q8+R8-S8-T8-U8-V8-W8</f>
        <v>0</v>
      </c>
      <c r="Y8" s="401">
        <f>'t10'!AV6</f>
        <v>0</v>
      </c>
      <c r="Z8" s="210" t="str">
        <f>IF(X8=Y8,"OK","ERRORE")</f>
        <v>OK</v>
      </c>
    </row>
    <row r="9" spans="1:26" ht="13.5" customHeight="1">
      <c r="A9" s="147" t="str">
        <f>'t1'!A7</f>
        <v>SEGRETARIO B</v>
      </c>
      <c r="B9" s="205" t="str">
        <f>'t1'!B7</f>
        <v>0D0103</v>
      </c>
      <c r="C9" s="400">
        <f>'t1'!L7</f>
        <v>0</v>
      </c>
      <c r="D9" s="400">
        <f>'t3'!M7</f>
        <v>0</v>
      </c>
      <c r="E9" s="401">
        <f>'t3'!O7</f>
        <v>0</v>
      </c>
      <c r="F9" s="401">
        <f>'t3'!Q7</f>
        <v>0</v>
      </c>
      <c r="G9" s="401">
        <f>'t3'!C7</f>
        <v>0</v>
      </c>
      <c r="H9" s="401">
        <f>'t3'!E7</f>
        <v>0</v>
      </c>
      <c r="I9" s="401">
        <f>'t3'!G7</f>
        <v>0</v>
      </c>
      <c r="J9" s="401">
        <f>'t3'!I7</f>
        <v>0</v>
      </c>
      <c r="K9" s="401">
        <f>'t3'!K7</f>
        <v>0</v>
      </c>
      <c r="L9" s="401">
        <f aca="true" t="shared" si="1" ref="L9:L50">C9+D9+E9+F9-G9-H9-I9-J9-K9</f>
        <v>0</v>
      </c>
      <c r="M9" s="401">
        <f>'t10'!AU7</f>
        <v>0</v>
      </c>
      <c r="N9" s="109" t="str">
        <f aca="true" t="shared" si="2" ref="N9:N40">IF(L9=M9,"OK","ERRORE")</f>
        <v>OK</v>
      </c>
      <c r="O9" s="400">
        <f>'t1'!M7</f>
        <v>0</v>
      </c>
      <c r="P9" s="400">
        <f>'t3'!N7</f>
        <v>0</v>
      </c>
      <c r="Q9" s="401">
        <f>'t3'!P7</f>
        <v>0</v>
      </c>
      <c r="R9" s="401">
        <f>'t3'!R7</f>
        <v>0</v>
      </c>
      <c r="S9" s="401">
        <f>'t3'!D7</f>
        <v>0</v>
      </c>
      <c r="T9" s="401">
        <f>'t3'!F7</f>
        <v>0</v>
      </c>
      <c r="U9" s="401">
        <f>'t3'!H7</f>
        <v>0</v>
      </c>
      <c r="V9" s="401">
        <f>'t3'!J7</f>
        <v>0</v>
      </c>
      <c r="W9" s="401">
        <f>'t3'!L7</f>
        <v>0</v>
      </c>
      <c r="X9" s="401">
        <f t="shared" si="0"/>
        <v>0</v>
      </c>
      <c r="Y9" s="401">
        <f>'t10'!AV7</f>
        <v>0</v>
      </c>
      <c r="Z9" s="210" t="str">
        <f aca="true" t="shared" si="3" ref="Z9:Z40">IF(X9=Y9,"OK","ERRORE")</f>
        <v>OK</v>
      </c>
    </row>
    <row r="10" spans="1:26" ht="13.5" customHeight="1">
      <c r="A10" s="147" t="str">
        <f>'t1'!A8</f>
        <v>SEGRETARIO C</v>
      </c>
      <c r="B10" s="205" t="str">
        <f>'t1'!B8</f>
        <v>0D0485</v>
      </c>
      <c r="C10" s="400">
        <f>'t1'!L8</f>
        <v>0</v>
      </c>
      <c r="D10" s="400">
        <f>'t3'!M8</f>
        <v>0</v>
      </c>
      <c r="E10" s="401">
        <f>'t3'!O8</f>
        <v>0</v>
      </c>
      <c r="F10" s="401">
        <f>'t3'!Q8</f>
        <v>0</v>
      </c>
      <c r="G10" s="401">
        <f>'t3'!C8</f>
        <v>0</v>
      </c>
      <c r="H10" s="401">
        <f>'t3'!E8</f>
        <v>0</v>
      </c>
      <c r="I10" s="401">
        <f>'t3'!G8</f>
        <v>0</v>
      </c>
      <c r="J10" s="401">
        <f>'t3'!I8</f>
        <v>0</v>
      </c>
      <c r="K10" s="401">
        <f>'t3'!K8</f>
        <v>0</v>
      </c>
      <c r="L10" s="401">
        <f t="shared" si="1"/>
        <v>0</v>
      </c>
      <c r="M10" s="401">
        <f>'t10'!AU8</f>
        <v>0</v>
      </c>
      <c r="N10" s="109" t="str">
        <f t="shared" si="2"/>
        <v>OK</v>
      </c>
      <c r="O10" s="400">
        <f>'t1'!M8</f>
        <v>0</v>
      </c>
      <c r="P10" s="400">
        <f>'t3'!N8</f>
        <v>0</v>
      </c>
      <c r="Q10" s="401">
        <f>'t3'!P8</f>
        <v>0</v>
      </c>
      <c r="R10" s="401">
        <f>'t3'!R8</f>
        <v>0</v>
      </c>
      <c r="S10" s="401">
        <f>'t3'!D8</f>
        <v>0</v>
      </c>
      <c r="T10" s="401">
        <f>'t3'!F8</f>
        <v>0</v>
      </c>
      <c r="U10" s="401">
        <f>'t3'!H8</f>
        <v>0</v>
      </c>
      <c r="V10" s="401">
        <f>'t3'!J8</f>
        <v>0</v>
      </c>
      <c r="W10" s="401">
        <f>'t3'!L8</f>
        <v>0</v>
      </c>
      <c r="X10" s="401">
        <f t="shared" si="0"/>
        <v>0</v>
      </c>
      <c r="Y10" s="401">
        <f>'t10'!AV8</f>
        <v>0</v>
      </c>
      <c r="Z10" s="210" t="str">
        <f t="shared" si="3"/>
        <v>OK</v>
      </c>
    </row>
    <row r="11" spans="1:26" ht="13.5" customHeight="1">
      <c r="A11" s="147" t="str">
        <f>'t1'!A9</f>
        <v>SEGRETARIO GENERALE CCIAA</v>
      </c>
      <c r="B11" s="205" t="str">
        <f>'t1'!B9</f>
        <v>0D0104</v>
      </c>
      <c r="C11" s="400">
        <f>'t1'!L9</f>
        <v>0</v>
      </c>
      <c r="D11" s="400">
        <f>'t3'!M9</f>
        <v>0</v>
      </c>
      <c r="E11" s="401">
        <f>'t3'!O9</f>
        <v>0</v>
      </c>
      <c r="F11" s="401">
        <f>'t3'!Q9</f>
        <v>0</v>
      </c>
      <c r="G11" s="401">
        <f>'t3'!C9</f>
        <v>0</v>
      </c>
      <c r="H11" s="401">
        <f>'t3'!E9</f>
        <v>0</v>
      </c>
      <c r="I11" s="401">
        <f>'t3'!G9</f>
        <v>0</v>
      </c>
      <c r="J11" s="401">
        <f>'t3'!I9</f>
        <v>0</v>
      </c>
      <c r="K11" s="401">
        <f>'t3'!K9</f>
        <v>0</v>
      </c>
      <c r="L11" s="401">
        <f t="shared" si="1"/>
        <v>0</v>
      </c>
      <c r="M11" s="401">
        <f>'t10'!AU9</f>
        <v>0</v>
      </c>
      <c r="N11" s="109" t="str">
        <f t="shared" si="2"/>
        <v>OK</v>
      </c>
      <c r="O11" s="400">
        <f>'t1'!M9</f>
        <v>0</v>
      </c>
      <c r="P11" s="400">
        <f>'t3'!N9</f>
        <v>0</v>
      </c>
      <c r="Q11" s="401">
        <f>'t3'!P9</f>
        <v>0</v>
      </c>
      <c r="R11" s="401">
        <f>'t3'!R9</f>
        <v>0</v>
      </c>
      <c r="S11" s="401">
        <f>'t3'!D9</f>
        <v>0</v>
      </c>
      <c r="T11" s="401">
        <f>'t3'!F9</f>
        <v>0</v>
      </c>
      <c r="U11" s="401">
        <f>'t3'!H9</f>
        <v>0</v>
      </c>
      <c r="V11" s="401">
        <f>'t3'!J9</f>
        <v>0</v>
      </c>
      <c r="W11" s="401">
        <f>'t3'!L9</f>
        <v>0</v>
      </c>
      <c r="X11" s="401">
        <f t="shared" si="0"/>
        <v>0</v>
      </c>
      <c r="Y11" s="401">
        <f>'t10'!AV9</f>
        <v>0</v>
      </c>
      <c r="Z11" s="210" t="str">
        <f t="shared" si="3"/>
        <v>OK</v>
      </c>
    </row>
    <row r="12" spans="1:26" ht="13.5" customHeight="1">
      <c r="A12" s="147" t="str">
        <f>'t1'!A10</f>
        <v>DIRETTORE  GENERALE</v>
      </c>
      <c r="B12" s="205" t="str">
        <f>'t1'!B10</f>
        <v>0D0097</v>
      </c>
      <c r="C12" s="400">
        <f>'t1'!L10</f>
        <v>0</v>
      </c>
      <c r="D12" s="400">
        <f>'t3'!M10</f>
        <v>0</v>
      </c>
      <c r="E12" s="401">
        <f>'t3'!O10</f>
        <v>0</v>
      </c>
      <c r="F12" s="401">
        <f>'t3'!Q10</f>
        <v>0</v>
      </c>
      <c r="G12" s="401">
        <f>'t3'!C10</f>
        <v>0</v>
      </c>
      <c r="H12" s="401">
        <f>'t3'!E10</f>
        <v>0</v>
      </c>
      <c r="I12" s="401">
        <f>'t3'!G10</f>
        <v>0</v>
      </c>
      <c r="J12" s="401">
        <f>'t3'!I10</f>
        <v>0</v>
      </c>
      <c r="K12" s="401">
        <f>'t3'!K10</f>
        <v>0</v>
      </c>
      <c r="L12" s="401">
        <f t="shared" si="1"/>
        <v>0</v>
      </c>
      <c r="M12" s="401">
        <f>'t10'!AU10</f>
        <v>0</v>
      </c>
      <c r="N12" s="109" t="str">
        <f t="shared" si="2"/>
        <v>OK</v>
      </c>
      <c r="O12" s="400">
        <f>'t1'!M10</f>
        <v>0</v>
      </c>
      <c r="P12" s="400">
        <f>'t3'!N10</f>
        <v>0</v>
      </c>
      <c r="Q12" s="401">
        <f>'t3'!P10</f>
        <v>0</v>
      </c>
      <c r="R12" s="401">
        <f>'t3'!R10</f>
        <v>0</v>
      </c>
      <c r="S12" s="401">
        <f>'t3'!D10</f>
        <v>0</v>
      </c>
      <c r="T12" s="401">
        <f>'t3'!F10</f>
        <v>0</v>
      </c>
      <c r="U12" s="401">
        <f>'t3'!H10</f>
        <v>0</v>
      </c>
      <c r="V12" s="401">
        <f>'t3'!J10</f>
        <v>0</v>
      </c>
      <c r="W12" s="401">
        <f>'t3'!L10</f>
        <v>0</v>
      </c>
      <c r="X12" s="401">
        <f t="shared" si="0"/>
        <v>0</v>
      </c>
      <c r="Y12" s="401">
        <f>'t10'!AV10</f>
        <v>0</v>
      </c>
      <c r="Z12" s="210" t="str">
        <f t="shared" si="3"/>
        <v>OK</v>
      </c>
    </row>
    <row r="13" spans="1:26" ht="13.5" customHeight="1">
      <c r="A13" s="147" t="str">
        <f>'t1'!A11</f>
        <v>DIRIGENTE FUORI D.O.</v>
      </c>
      <c r="B13" s="205" t="str">
        <f>'t1'!B11</f>
        <v>0D0098</v>
      </c>
      <c r="C13" s="400">
        <f>'t1'!L11</f>
        <v>0</v>
      </c>
      <c r="D13" s="400">
        <f>'t3'!M11</f>
        <v>0</v>
      </c>
      <c r="E13" s="401">
        <f>'t3'!O11</f>
        <v>0</v>
      </c>
      <c r="F13" s="401">
        <f>'t3'!Q11</f>
        <v>0</v>
      </c>
      <c r="G13" s="401">
        <f>'t3'!C11</f>
        <v>0</v>
      </c>
      <c r="H13" s="401">
        <f>'t3'!E11</f>
        <v>0</v>
      </c>
      <c r="I13" s="401">
        <f>'t3'!G11</f>
        <v>0</v>
      </c>
      <c r="J13" s="401">
        <f>'t3'!I11</f>
        <v>0</v>
      </c>
      <c r="K13" s="401">
        <f>'t3'!K11</f>
        <v>0</v>
      </c>
      <c r="L13" s="401">
        <f t="shared" si="1"/>
        <v>0</v>
      </c>
      <c r="M13" s="401">
        <f>'t10'!AU11</f>
        <v>0</v>
      </c>
      <c r="N13" s="109" t="str">
        <f t="shared" si="2"/>
        <v>OK</v>
      </c>
      <c r="O13" s="400">
        <f>'t1'!M11</f>
        <v>0</v>
      </c>
      <c r="P13" s="400">
        <f>'t3'!N11</f>
        <v>0</v>
      </c>
      <c r="Q13" s="401">
        <f>'t3'!P11</f>
        <v>0</v>
      </c>
      <c r="R13" s="401">
        <f>'t3'!R11</f>
        <v>0</v>
      </c>
      <c r="S13" s="401">
        <f>'t3'!D11</f>
        <v>0</v>
      </c>
      <c r="T13" s="401">
        <f>'t3'!F11</f>
        <v>0</v>
      </c>
      <c r="U13" s="401">
        <f>'t3'!H11</f>
        <v>0</v>
      </c>
      <c r="V13" s="401">
        <f>'t3'!J11</f>
        <v>0</v>
      </c>
      <c r="W13" s="401">
        <f>'t3'!L11</f>
        <v>0</v>
      </c>
      <c r="X13" s="401">
        <f t="shared" si="0"/>
        <v>0</v>
      </c>
      <c r="Y13" s="401">
        <f>'t10'!AV11</f>
        <v>0</v>
      </c>
      <c r="Z13" s="210" t="str">
        <f t="shared" si="3"/>
        <v>OK</v>
      </c>
    </row>
    <row r="14" spans="1:26" ht="13.5" customHeight="1">
      <c r="A14" s="147" t="str">
        <f>'t1'!A12</f>
        <v>ALTE SPECIALIZZ. FUORI D.O.</v>
      </c>
      <c r="B14" s="205" t="str">
        <f>'t1'!B12</f>
        <v>0D0095</v>
      </c>
      <c r="C14" s="400">
        <f>'t1'!L12</f>
        <v>0</v>
      </c>
      <c r="D14" s="400">
        <f>'t3'!M12</f>
        <v>0</v>
      </c>
      <c r="E14" s="401">
        <f>'t3'!O12</f>
        <v>0</v>
      </c>
      <c r="F14" s="401">
        <f>'t3'!Q12</f>
        <v>0</v>
      </c>
      <c r="G14" s="401">
        <f>'t3'!C12</f>
        <v>0</v>
      </c>
      <c r="H14" s="401">
        <f>'t3'!E12</f>
        <v>0</v>
      </c>
      <c r="I14" s="401">
        <f>'t3'!G12</f>
        <v>0</v>
      </c>
      <c r="J14" s="401">
        <f>'t3'!I12</f>
        <v>0</v>
      </c>
      <c r="K14" s="401">
        <f>'t3'!K12</f>
        <v>0</v>
      </c>
      <c r="L14" s="401">
        <f t="shared" si="1"/>
        <v>0</v>
      </c>
      <c r="M14" s="401">
        <f>'t10'!AU12</f>
        <v>0</v>
      </c>
      <c r="N14" s="109" t="str">
        <f t="shared" si="2"/>
        <v>OK</v>
      </c>
      <c r="O14" s="400">
        <f>'t1'!M12</f>
        <v>0</v>
      </c>
      <c r="P14" s="400">
        <f>'t3'!N12</f>
        <v>0</v>
      </c>
      <c r="Q14" s="401">
        <f>'t3'!P12</f>
        <v>0</v>
      </c>
      <c r="R14" s="401">
        <f>'t3'!R12</f>
        <v>0</v>
      </c>
      <c r="S14" s="401">
        <f>'t3'!D12</f>
        <v>0</v>
      </c>
      <c r="T14" s="401">
        <f>'t3'!F12</f>
        <v>0</v>
      </c>
      <c r="U14" s="401">
        <f>'t3'!H12</f>
        <v>0</v>
      </c>
      <c r="V14" s="401">
        <f>'t3'!J12</f>
        <v>0</v>
      </c>
      <c r="W14" s="401">
        <f>'t3'!L12</f>
        <v>0</v>
      </c>
      <c r="X14" s="401">
        <f t="shared" si="0"/>
        <v>0</v>
      </c>
      <c r="Y14" s="401">
        <f>'t10'!AV12</f>
        <v>0</v>
      </c>
      <c r="Z14" s="210" t="str">
        <f t="shared" si="3"/>
        <v>OK</v>
      </c>
    </row>
    <row r="15" spans="1:26" ht="13.5" customHeight="1">
      <c r="A15" s="147" t="str">
        <f>'t1'!A13</f>
        <v>QUALIFICA DIRIGENZIALE TEMPO INDET.</v>
      </c>
      <c r="B15" s="205" t="str">
        <f>'t1'!B13</f>
        <v>0D0100</v>
      </c>
      <c r="C15" s="400">
        <f>'t1'!L13</f>
        <v>0</v>
      </c>
      <c r="D15" s="400">
        <f>'t3'!M13</f>
        <v>0</v>
      </c>
      <c r="E15" s="401">
        <f>'t3'!O13</f>
        <v>0</v>
      </c>
      <c r="F15" s="401">
        <f>'t3'!Q13</f>
        <v>0</v>
      </c>
      <c r="G15" s="401">
        <f>'t3'!C13</f>
        <v>0</v>
      </c>
      <c r="H15" s="401">
        <f>'t3'!E13</f>
        <v>0</v>
      </c>
      <c r="I15" s="401">
        <f>'t3'!G13</f>
        <v>0</v>
      </c>
      <c r="J15" s="401">
        <f>'t3'!I13</f>
        <v>0</v>
      </c>
      <c r="K15" s="401">
        <f>'t3'!K13</f>
        <v>0</v>
      </c>
      <c r="L15" s="401">
        <f t="shared" si="1"/>
        <v>0</v>
      </c>
      <c r="M15" s="401">
        <f>'t10'!AU13</f>
        <v>0</v>
      </c>
      <c r="N15" s="109" t="str">
        <f t="shared" si="2"/>
        <v>OK</v>
      </c>
      <c r="O15" s="400">
        <f>'t1'!M13</f>
        <v>1</v>
      </c>
      <c r="P15" s="400">
        <f>'t3'!N13</f>
        <v>0</v>
      </c>
      <c r="Q15" s="401">
        <f>'t3'!P13</f>
        <v>0</v>
      </c>
      <c r="R15" s="401">
        <f>'t3'!R13</f>
        <v>0</v>
      </c>
      <c r="S15" s="401">
        <f>'t3'!D13</f>
        <v>0</v>
      </c>
      <c r="T15" s="401">
        <f>'t3'!F13</f>
        <v>0</v>
      </c>
      <c r="U15" s="401">
        <f>'t3'!H13</f>
        <v>0</v>
      </c>
      <c r="V15" s="401">
        <f>'t3'!J13</f>
        <v>0</v>
      </c>
      <c r="W15" s="401">
        <f>'t3'!L13</f>
        <v>0</v>
      </c>
      <c r="X15" s="401">
        <f t="shared" si="0"/>
        <v>1</v>
      </c>
      <c r="Y15" s="401">
        <f>'t10'!AV13</f>
        <v>0</v>
      </c>
      <c r="Z15" s="210" t="str">
        <f t="shared" si="3"/>
        <v>ERRORE</v>
      </c>
    </row>
    <row r="16" spans="1:26" ht="13.5" customHeight="1">
      <c r="A16" s="147" t="str">
        <f>'t1'!A14</f>
        <v>QUALIFICA DIRIGENZIALE TEMPO DETER.</v>
      </c>
      <c r="B16" s="205" t="str">
        <f>'t1'!B14</f>
        <v>0D0099</v>
      </c>
      <c r="C16" s="400">
        <f>'t1'!L14</f>
        <v>10</v>
      </c>
      <c r="D16" s="400">
        <f>'t3'!M14</f>
        <v>0</v>
      </c>
      <c r="E16" s="401">
        <f>'t3'!O14</f>
        <v>0</v>
      </c>
      <c r="F16" s="401">
        <f>'t3'!Q14</f>
        <v>0</v>
      </c>
      <c r="G16" s="401">
        <f>'t3'!C14</f>
        <v>0</v>
      </c>
      <c r="H16" s="401">
        <f>'t3'!E14</f>
        <v>0</v>
      </c>
      <c r="I16" s="401">
        <f>'t3'!G14</f>
        <v>0</v>
      </c>
      <c r="J16" s="401">
        <f>'t3'!I14</f>
        <v>0</v>
      </c>
      <c r="K16" s="401">
        <f>'t3'!K14</f>
        <v>0</v>
      </c>
      <c r="L16" s="401">
        <f t="shared" si="1"/>
        <v>10</v>
      </c>
      <c r="M16" s="401">
        <f>'t10'!AU14</f>
        <v>0</v>
      </c>
      <c r="N16" s="109" t="str">
        <f t="shared" si="2"/>
        <v>ERRORE</v>
      </c>
      <c r="O16" s="400">
        <f>'t1'!M14</f>
        <v>0</v>
      </c>
      <c r="P16" s="400">
        <f>'t3'!N14</f>
        <v>0</v>
      </c>
      <c r="Q16" s="401">
        <f>'t3'!P14</f>
        <v>0</v>
      </c>
      <c r="R16" s="401">
        <f>'t3'!R14</f>
        <v>0</v>
      </c>
      <c r="S16" s="401">
        <f>'t3'!D14</f>
        <v>0</v>
      </c>
      <c r="T16" s="401">
        <f>'t3'!F14</f>
        <v>0</v>
      </c>
      <c r="U16" s="401">
        <f>'t3'!H14</f>
        <v>0</v>
      </c>
      <c r="V16" s="401">
        <f>'t3'!J14</f>
        <v>0</v>
      </c>
      <c r="W16" s="401">
        <f>'t3'!L14</f>
        <v>0</v>
      </c>
      <c r="X16" s="401">
        <f t="shared" si="0"/>
        <v>0</v>
      </c>
      <c r="Y16" s="401">
        <f>'t10'!AV14</f>
        <v>0</v>
      </c>
      <c r="Z16" s="210" t="str">
        <f t="shared" si="3"/>
        <v>OK</v>
      </c>
    </row>
    <row r="17" spans="1:26" ht="13.5" customHeight="1">
      <c r="A17" s="147" t="str">
        <f>'t1'!A15</f>
        <v>POSIZ. ECON. D6 - PROFILI ACCESSO D3</v>
      </c>
      <c r="B17" s="205" t="str">
        <f>'t1'!B15</f>
        <v>0D6A00</v>
      </c>
      <c r="C17" s="400">
        <f>'t1'!L15</f>
        <v>5</v>
      </c>
      <c r="D17" s="400">
        <f>'t3'!M15</f>
        <v>0</v>
      </c>
      <c r="E17" s="401">
        <f>'t3'!O15</f>
        <v>0</v>
      </c>
      <c r="F17" s="401">
        <f>'t3'!Q15</f>
        <v>0</v>
      </c>
      <c r="G17" s="401">
        <f>'t3'!C15</f>
        <v>0</v>
      </c>
      <c r="H17" s="401">
        <f>'t3'!E15</f>
        <v>0</v>
      </c>
      <c r="I17" s="401">
        <f>'t3'!G15</f>
        <v>0</v>
      </c>
      <c r="J17" s="401">
        <f>'t3'!I15</f>
        <v>0</v>
      </c>
      <c r="K17" s="401">
        <f>'t3'!K15</f>
        <v>0</v>
      </c>
      <c r="L17" s="401">
        <f t="shared" si="1"/>
        <v>5</v>
      </c>
      <c r="M17" s="401">
        <f>'t10'!AU15</f>
        <v>0</v>
      </c>
      <c r="N17" s="109" t="str">
        <f t="shared" si="2"/>
        <v>ERRORE</v>
      </c>
      <c r="O17" s="400">
        <f>'t1'!M15</f>
        <v>3</v>
      </c>
      <c r="P17" s="400">
        <f>'t3'!N15</f>
        <v>0</v>
      </c>
      <c r="Q17" s="401">
        <f>'t3'!P15</f>
        <v>0</v>
      </c>
      <c r="R17" s="401">
        <f>'t3'!R15</f>
        <v>0</v>
      </c>
      <c r="S17" s="401">
        <f>'t3'!D15</f>
        <v>0</v>
      </c>
      <c r="T17" s="401">
        <f>'t3'!F15</f>
        <v>0</v>
      </c>
      <c r="U17" s="401">
        <f>'t3'!H15</f>
        <v>0</v>
      </c>
      <c r="V17" s="401">
        <f>'t3'!J15</f>
        <v>0</v>
      </c>
      <c r="W17" s="401">
        <f>'t3'!L15</f>
        <v>0</v>
      </c>
      <c r="X17" s="401">
        <f t="shared" si="0"/>
        <v>3</v>
      </c>
      <c r="Y17" s="401">
        <f>'t10'!AV15</f>
        <v>0</v>
      </c>
      <c r="Z17" s="210" t="str">
        <f t="shared" si="3"/>
        <v>ERRORE</v>
      </c>
    </row>
    <row r="18" spans="1:26" ht="13.5" customHeight="1">
      <c r="A18" s="147" t="str">
        <f>'t1'!A16</f>
        <v>POSIZ. ECON. D6 - PROFILO ACCESSO D1</v>
      </c>
      <c r="B18" s="205" t="str">
        <f>'t1'!B16</f>
        <v>0D6000</v>
      </c>
      <c r="C18" s="400">
        <f>'t1'!L16</f>
        <v>0</v>
      </c>
      <c r="D18" s="400">
        <f>'t3'!M16</f>
        <v>0</v>
      </c>
      <c r="E18" s="401">
        <f>'t3'!O16</f>
        <v>0</v>
      </c>
      <c r="F18" s="401">
        <f>'t3'!Q16</f>
        <v>0</v>
      </c>
      <c r="G18" s="401">
        <f>'t3'!C16</f>
        <v>0</v>
      </c>
      <c r="H18" s="401">
        <f>'t3'!E16</f>
        <v>0</v>
      </c>
      <c r="I18" s="401">
        <f>'t3'!G16</f>
        <v>0</v>
      </c>
      <c r="J18" s="401">
        <f>'t3'!I16</f>
        <v>0</v>
      </c>
      <c r="K18" s="401">
        <f>'t3'!K16</f>
        <v>0</v>
      </c>
      <c r="L18" s="401">
        <f t="shared" si="1"/>
        <v>0</v>
      </c>
      <c r="M18" s="401">
        <f>'t10'!AU16</f>
        <v>0</v>
      </c>
      <c r="N18" s="109" t="str">
        <f t="shared" si="2"/>
        <v>OK</v>
      </c>
      <c r="O18" s="400">
        <f>'t1'!M16</f>
        <v>0</v>
      </c>
      <c r="P18" s="400">
        <f>'t3'!N16</f>
        <v>0</v>
      </c>
      <c r="Q18" s="401">
        <f>'t3'!P16</f>
        <v>0</v>
      </c>
      <c r="R18" s="401">
        <f>'t3'!R16</f>
        <v>0</v>
      </c>
      <c r="S18" s="401">
        <f>'t3'!D16</f>
        <v>0</v>
      </c>
      <c r="T18" s="401">
        <f>'t3'!F16</f>
        <v>0</v>
      </c>
      <c r="U18" s="401">
        <f>'t3'!H16</f>
        <v>0</v>
      </c>
      <c r="V18" s="401">
        <f>'t3'!J16</f>
        <v>0</v>
      </c>
      <c r="W18" s="401">
        <f>'t3'!L16</f>
        <v>0</v>
      </c>
      <c r="X18" s="401">
        <f t="shared" si="0"/>
        <v>0</v>
      </c>
      <c r="Y18" s="401">
        <f>'t10'!AV16</f>
        <v>0</v>
      </c>
      <c r="Z18" s="210" t="str">
        <f t="shared" si="3"/>
        <v>OK</v>
      </c>
    </row>
    <row r="19" spans="1:26" ht="13.5" customHeight="1">
      <c r="A19" s="147" t="str">
        <f>'t1'!A17</f>
        <v>POSIZ.ECON. D5 PROFILI ACCESSO D3</v>
      </c>
      <c r="B19" s="205" t="str">
        <f>'t1'!B17</f>
        <v>052486</v>
      </c>
      <c r="C19" s="400">
        <f>'t1'!L17</f>
        <v>6</v>
      </c>
      <c r="D19" s="400">
        <f>'t3'!M17</f>
        <v>0</v>
      </c>
      <c r="E19" s="401">
        <f>'t3'!O17</f>
        <v>0</v>
      </c>
      <c r="F19" s="401">
        <f>'t3'!Q17</f>
        <v>0</v>
      </c>
      <c r="G19" s="401">
        <f>'t3'!C17</f>
        <v>0</v>
      </c>
      <c r="H19" s="401">
        <f>'t3'!E17</f>
        <v>0</v>
      </c>
      <c r="I19" s="401">
        <f>'t3'!G17</f>
        <v>0</v>
      </c>
      <c r="J19" s="401">
        <f>'t3'!I17</f>
        <v>0</v>
      </c>
      <c r="K19" s="401">
        <f>'t3'!K17</f>
        <v>0</v>
      </c>
      <c r="L19" s="401">
        <f t="shared" si="1"/>
        <v>6</v>
      </c>
      <c r="M19" s="401">
        <f>'t10'!AU17</f>
        <v>0</v>
      </c>
      <c r="N19" s="109" t="str">
        <f t="shared" si="2"/>
        <v>ERRORE</v>
      </c>
      <c r="O19" s="400">
        <f>'t1'!M17</f>
        <v>2</v>
      </c>
      <c r="P19" s="400">
        <f>'t3'!N17</f>
        <v>0</v>
      </c>
      <c r="Q19" s="401">
        <f>'t3'!P17</f>
        <v>0</v>
      </c>
      <c r="R19" s="401">
        <f>'t3'!R17</f>
        <v>0</v>
      </c>
      <c r="S19" s="401">
        <f>'t3'!D17</f>
        <v>0</v>
      </c>
      <c r="T19" s="401">
        <f>'t3'!F17</f>
        <v>0</v>
      </c>
      <c r="U19" s="401">
        <f>'t3'!H17</f>
        <v>0</v>
      </c>
      <c r="V19" s="401">
        <f>'t3'!J17</f>
        <v>0</v>
      </c>
      <c r="W19" s="401">
        <f>'t3'!L17</f>
        <v>0</v>
      </c>
      <c r="X19" s="401">
        <f t="shared" si="0"/>
        <v>2</v>
      </c>
      <c r="Y19" s="401">
        <f>'t10'!AV17</f>
        <v>0</v>
      </c>
      <c r="Z19" s="210" t="str">
        <f t="shared" si="3"/>
        <v>ERRORE</v>
      </c>
    </row>
    <row r="20" spans="1:26" ht="13.5" customHeight="1">
      <c r="A20" s="147" t="str">
        <f>'t1'!A18</f>
        <v>POSIZ.ECON. D5 PROFILI ACCESSO D1</v>
      </c>
      <c r="B20" s="205" t="str">
        <f>'t1'!B18</f>
        <v>052487</v>
      </c>
      <c r="C20" s="400">
        <f>'t1'!L18</f>
        <v>1</v>
      </c>
      <c r="D20" s="400">
        <f>'t3'!M18</f>
        <v>0</v>
      </c>
      <c r="E20" s="401">
        <f>'t3'!O18</f>
        <v>0</v>
      </c>
      <c r="F20" s="401">
        <f>'t3'!Q18</f>
        <v>0</v>
      </c>
      <c r="G20" s="401">
        <f>'t3'!C18</f>
        <v>0</v>
      </c>
      <c r="H20" s="401">
        <f>'t3'!E18</f>
        <v>0</v>
      </c>
      <c r="I20" s="401">
        <f>'t3'!G18</f>
        <v>0</v>
      </c>
      <c r="J20" s="401">
        <f>'t3'!I18</f>
        <v>0</v>
      </c>
      <c r="K20" s="401">
        <f>'t3'!K18</f>
        <v>0</v>
      </c>
      <c r="L20" s="401">
        <f t="shared" si="1"/>
        <v>1</v>
      </c>
      <c r="M20" s="401">
        <f>'t10'!AU18</f>
        <v>0</v>
      </c>
      <c r="N20" s="109" t="str">
        <f t="shared" si="2"/>
        <v>ERRORE</v>
      </c>
      <c r="O20" s="400">
        <f>'t1'!M18</f>
        <v>0</v>
      </c>
      <c r="P20" s="400">
        <f>'t3'!N18</f>
        <v>0</v>
      </c>
      <c r="Q20" s="401">
        <f>'t3'!P18</f>
        <v>0</v>
      </c>
      <c r="R20" s="401">
        <f>'t3'!R18</f>
        <v>0</v>
      </c>
      <c r="S20" s="401">
        <f>'t3'!D18</f>
        <v>0</v>
      </c>
      <c r="T20" s="401">
        <f>'t3'!F18</f>
        <v>0</v>
      </c>
      <c r="U20" s="401">
        <f>'t3'!H18</f>
        <v>0</v>
      </c>
      <c r="V20" s="401">
        <f>'t3'!J18</f>
        <v>0</v>
      </c>
      <c r="W20" s="401">
        <f>'t3'!L18</f>
        <v>0</v>
      </c>
      <c r="X20" s="401">
        <f t="shared" si="0"/>
        <v>0</v>
      </c>
      <c r="Y20" s="401">
        <f>'t10'!AV18</f>
        <v>0</v>
      </c>
      <c r="Z20" s="210" t="str">
        <f t="shared" si="3"/>
        <v>OK</v>
      </c>
    </row>
    <row r="21" spans="1:26" ht="13.5" customHeight="1">
      <c r="A21" s="147" t="str">
        <f>'t1'!A19</f>
        <v>POSIZ.ECON. D4 PROFILI ACCESSO D3</v>
      </c>
      <c r="B21" s="205" t="str">
        <f>'t1'!B19</f>
        <v>051488</v>
      </c>
      <c r="C21" s="400">
        <f>'t1'!L19</f>
        <v>9</v>
      </c>
      <c r="D21" s="400">
        <f>'t3'!M19</f>
        <v>0</v>
      </c>
      <c r="E21" s="401">
        <f>'t3'!O19</f>
        <v>0</v>
      </c>
      <c r="F21" s="401">
        <f>'t3'!Q19</f>
        <v>0</v>
      </c>
      <c r="G21" s="401">
        <f>'t3'!C19</f>
        <v>0</v>
      </c>
      <c r="H21" s="401">
        <f>'t3'!E19</f>
        <v>0</v>
      </c>
      <c r="I21" s="401">
        <f>'t3'!G19</f>
        <v>0</v>
      </c>
      <c r="J21" s="401">
        <f>'t3'!I19</f>
        <v>0</v>
      </c>
      <c r="K21" s="401">
        <f>'t3'!K19</f>
        <v>0</v>
      </c>
      <c r="L21" s="401">
        <f t="shared" si="1"/>
        <v>9</v>
      </c>
      <c r="M21" s="401">
        <f>'t10'!AU19</f>
        <v>0</v>
      </c>
      <c r="N21" s="109" t="str">
        <f t="shared" si="2"/>
        <v>ERRORE</v>
      </c>
      <c r="O21" s="400">
        <f>'t1'!M19</f>
        <v>5</v>
      </c>
      <c r="P21" s="400">
        <f>'t3'!N19</f>
        <v>0</v>
      </c>
      <c r="Q21" s="401">
        <f>'t3'!P19</f>
        <v>0</v>
      </c>
      <c r="R21" s="401">
        <f>'t3'!R19</f>
        <v>0</v>
      </c>
      <c r="S21" s="401">
        <f>'t3'!D19</f>
        <v>0</v>
      </c>
      <c r="T21" s="401">
        <f>'t3'!F19</f>
        <v>0</v>
      </c>
      <c r="U21" s="401">
        <f>'t3'!H19</f>
        <v>0</v>
      </c>
      <c r="V21" s="401">
        <f>'t3'!J19</f>
        <v>0</v>
      </c>
      <c r="W21" s="401">
        <f>'t3'!L19</f>
        <v>0</v>
      </c>
      <c r="X21" s="401">
        <f t="shared" si="0"/>
        <v>5</v>
      </c>
      <c r="Y21" s="401">
        <f>'t10'!AV19</f>
        <v>0</v>
      </c>
      <c r="Z21" s="210" t="str">
        <f t="shared" si="3"/>
        <v>ERRORE</v>
      </c>
    </row>
    <row r="22" spans="1:26" ht="13.5" customHeight="1">
      <c r="A22" s="147" t="str">
        <f>'t1'!A20</f>
        <v>POSIZ.ECON. D4 PROFILI ACCESSO D1</v>
      </c>
      <c r="B22" s="205" t="str">
        <f>'t1'!B20</f>
        <v>051489</v>
      </c>
      <c r="C22" s="400">
        <f>'t1'!L20</f>
        <v>3</v>
      </c>
      <c r="D22" s="400">
        <f>'t3'!M20</f>
        <v>0</v>
      </c>
      <c r="E22" s="401">
        <f>'t3'!O20</f>
        <v>0</v>
      </c>
      <c r="F22" s="401">
        <f>'t3'!Q20</f>
        <v>0</v>
      </c>
      <c r="G22" s="401">
        <f>'t3'!C20</f>
        <v>0</v>
      </c>
      <c r="H22" s="401">
        <f>'t3'!E20</f>
        <v>0</v>
      </c>
      <c r="I22" s="401">
        <f>'t3'!G20</f>
        <v>0</v>
      </c>
      <c r="J22" s="401">
        <f>'t3'!I20</f>
        <v>0</v>
      </c>
      <c r="K22" s="401">
        <f>'t3'!K20</f>
        <v>0</v>
      </c>
      <c r="L22" s="401">
        <f t="shared" si="1"/>
        <v>3</v>
      </c>
      <c r="M22" s="401">
        <f>'t10'!AU20</f>
        <v>0</v>
      </c>
      <c r="N22" s="109" t="str">
        <f t="shared" si="2"/>
        <v>ERRORE</v>
      </c>
      <c r="O22" s="400">
        <f>'t1'!M20</f>
        <v>0</v>
      </c>
      <c r="P22" s="400">
        <f>'t3'!N20</f>
        <v>0</v>
      </c>
      <c r="Q22" s="401">
        <f>'t3'!P20</f>
        <v>0</v>
      </c>
      <c r="R22" s="401">
        <f>'t3'!R20</f>
        <v>0</v>
      </c>
      <c r="S22" s="401">
        <f>'t3'!D20</f>
        <v>0</v>
      </c>
      <c r="T22" s="401">
        <f>'t3'!F20</f>
        <v>0</v>
      </c>
      <c r="U22" s="401">
        <f>'t3'!H20</f>
        <v>0</v>
      </c>
      <c r="V22" s="401">
        <f>'t3'!J20</f>
        <v>0</v>
      </c>
      <c r="W22" s="401">
        <f>'t3'!L20</f>
        <v>0</v>
      </c>
      <c r="X22" s="401">
        <f t="shared" si="0"/>
        <v>0</v>
      </c>
      <c r="Y22" s="401">
        <f>'t10'!AV20</f>
        <v>0</v>
      </c>
      <c r="Z22" s="210" t="str">
        <f t="shared" si="3"/>
        <v>OK</v>
      </c>
    </row>
    <row r="23" spans="1:26" ht="13.5" customHeight="1">
      <c r="A23" s="147" t="str">
        <f>'t1'!A21</f>
        <v>POSIZIONE ECONOMICA DI ACCESSO D3</v>
      </c>
      <c r="B23" s="205" t="str">
        <f>'t1'!B21</f>
        <v>058000</v>
      </c>
      <c r="C23" s="400">
        <f>'t1'!L21</f>
        <v>1</v>
      </c>
      <c r="D23" s="400">
        <f>'t3'!M21</f>
        <v>0</v>
      </c>
      <c r="E23" s="401">
        <f>'t3'!O21</f>
        <v>0</v>
      </c>
      <c r="F23" s="401">
        <f>'t3'!Q21</f>
        <v>0</v>
      </c>
      <c r="G23" s="401">
        <f>'t3'!C21</f>
        <v>0</v>
      </c>
      <c r="H23" s="401">
        <f>'t3'!E21</f>
        <v>0</v>
      </c>
      <c r="I23" s="401">
        <f>'t3'!G21</f>
        <v>0</v>
      </c>
      <c r="J23" s="401">
        <f>'t3'!I21</f>
        <v>0</v>
      </c>
      <c r="K23" s="401">
        <f>'t3'!K21</f>
        <v>0</v>
      </c>
      <c r="L23" s="401">
        <f t="shared" si="1"/>
        <v>1</v>
      </c>
      <c r="M23" s="401">
        <f>'t10'!AU21</f>
        <v>0</v>
      </c>
      <c r="N23" s="109" t="str">
        <f t="shared" si="2"/>
        <v>ERRORE</v>
      </c>
      <c r="O23" s="400">
        <f>'t1'!M21</f>
        <v>1</v>
      </c>
      <c r="P23" s="400">
        <f>'t3'!N21</f>
        <v>0</v>
      </c>
      <c r="Q23" s="401">
        <f>'t3'!P21</f>
        <v>0</v>
      </c>
      <c r="R23" s="401">
        <f>'t3'!R21</f>
        <v>0</v>
      </c>
      <c r="S23" s="401">
        <f>'t3'!D21</f>
        <v>0</v>
      </c>
      <c r="T23" s="401">
        <f>'t3'!F21</f>
        <v>0</v>
      </c>
      <c r="U23" s="401">
        <f>'t3'!H21</f>
        <v>0</v>
      </c>
      <c r="V23" s="401">
        <f>'t3'!J21</f>
        <v>0</v>
      </c>
      <c r="W23" s="401">
        <f>'t3'!L21</f>
        <v>0</v>
      </c>
      <c r="X23" s="401">
        <f t="shared" si="0"/>
        <v>1</v>
      </c>
      <c r="Y23" s="401">
        <f>'t10'!AV21</f>
        <v>0</v>
      </c>
      <c r="Z23" s="210" t="str">
        <f t="shared" si="3"/>
        <v>ERRORE</v>
      </c>
    </row>
    <row r="24" spans="1:26" ht="13.5" customHeight="1">
      <c r="A24" s="147" t="str">
        <f>'t1'!A22</f>
        <v>POSIZIONE ECONOMICA D3</v>
      </c>
      <c r="B24" s="205" t="str">
        <f>'t1'!B22</f>
        <v>050000</v>
      </c>
      <c r="C24" s="400">
        <f>'t1'!L22</f>
        <v>8</v>
      </c>
      <c r="D24" s="400">
        <f>'t3'!M22</f>
        <v>0</v>
      </c>
      <c r="E24" s="401">
        <f>'t3'!O22</f>
        <v>0</v>
      </c>
      <c r="F24" s="401">
        <f>'t3'!Q22</f>
        <v>0</v>
      </c>
      <c r="G24" s="401">
        <f>'t3'!C22</f>
        <v>0</v>
      </c>
      <c r="H24" s="401">
        <f>'t3'!E22</f>
        <v>0</v>
      </c>
      <c r="I24" s="401">
        <f>'t3'!G22</f>
        <v>0</v>
      </c>
      <c r="J24" s="401">
        <f>'t3'!I22</f>
        <v>0</v>
      </c>
      <c r="K24" s="401">
        <f>'t3'!K22</f>
        <v>0</v>
      </c>
      <c r="L24" s="401">
        <f t="shared" si="1"/>
        <v>8</v>
      </c>
      <c r="M24" s="401">
        <f>'t10'!AU22</f>
        <v>0</v>
      </c>
      <c r="N24" s="109" t="str">
        <f t="shared" si="2"/>
        <v>ERRORE</v>
      </c>
      <c r="O24" s="400">
        <f>'t1'!M22</f>
        <v>4</v>
      </c>
      <c r="P24" s="400">
        <f>'t3'!N22</f>
        <v>0</v>
      </c>
      <c r="Q24" s="401">
        <f>'t3'!P22</f>
        <v>0</v>
      </c>
      <c r="R24" s="401">
        <f>'t3'!R22</f>
        <v>0</v>
      </c>
      <c r="S24" s="401">
        <f>'t3'!D22</f>
        <v>0</v>
      </c>
      <c r="T24" s="401">
        <f>'t3'!F22</f>
        <v>0</v>
      </c>
      <c r="U24" s="401">
        <f>'t3'!H22</f>
        <v>0</v>
      </c>
      <c r="V24" s="401">
        <f>'t3'!J22</f>
        <v>0</v>
      </c>
      <c r="W24" s="401">
        <f>'t3'!L22</f>
        <v>0</v>
      </c>
      <c r="X24" s="401">
        <f t="shared" si="0"/>
        <v>4</v>
      </c>
      <c r="Y24" s="401">
        <f>'t10'!AV22</f>
        <v>0</v>
      </c>
      <c r="Z24" s="210" t="str">
        <f t="shared" si="3"/>
        <v>ERRORE</v>
      </c>
    </row>
    <row r="25" spans="1:26" ht="13.5" customHeight="1">
      <c r="A25" s="147" t="str">
        <f>'t1'!A23</f>
        <v>POSIZIONE ECONOMICA D2</v>
      </c>
      <c r="B25" s="205" t="str">
        <f>'t1'!B23</f>
        <v>049000</v>
      </c>
      <c r="C25" s="400">
        <f>'t1'!L23</f>
        <v>33</v>
      </c>
      <c r="D25" s="400">
        <f>'t3'!M23</f>
        <v>0</v>
      </c>
      <c r="E25" s="401">
        <f>'t3'!O23</f>
        <v>0</v>
      </c>
      <c r="F25" s="401">
        <f>'t3'!Q23</f>
        <v>0</v>
      </c>
      <c r="G25" s="401">
        <f>'t3'!C23</f>
        <v>0</v>
      </c>
      <c r="H25" s="401">
        <f>'t3'!E23</f>
        <v>0</v>
      </c>
      <c r="I25" s="401">
        <f>'t3'!G23</f>
        <v>0</v>
      </c>
      <c r="J25" s="401">
        <f>'t3'!I23</f>
        <v>0</v>
      </c>
      <c r="K25" s="401">
        <f>'t3'!K23</f>
        <v>0</v>
      </c>
      <c r="L25" s="401">
        <f t="shared" si="1"/>
        <v>33</v>
      </c>
      <c r="M25" s="401">
        <f>'t10'!AU23</f>
        <v>0</v>
      </c>
      <c r="N25" s="109" t="str">
        <f t="shared" si="2"/>
        <v>ERRORE</v>
      </c>
      <c r="O25" s="400">
        <f>'t1'!M23</f>
        <v>7</v>
      </c>
      <c r="P25" s="400">
        <f>'t3'!N23</f>
        <v>0</v>
      </c>
      <c r="Q25" s="401">
        <f>'t3'!P23</f>
        <v>0</v>
      </c>
      <c r="R25" s="401">
        <f>'t3'!R23</f>
        <v>0</v>
      </c>
      <c r="S25" s="401">
        <f>'t3'!D23</f>
        <v>0</v>
      </c>
      <c r="T25" s="401">
        <f>'t3'!F23</f>
        <v>0</v>
      </c>
      <c r="U25" s="401">
        <f>'t3'!H23</f>
        <v>0</v>
      </c>
      <c r="V25" s="401">
        <f>'t3'!J23</f>
        <v>0</v>
      </c>
      <c r="W25" s="401">
        <f>'t3'!L23</f>
        <v>0</v>
      </c>
      <c r="X25" s="401">
        <f t="shared" si="0"/>
        <v>7</v>
      </c>
      <c r="Y25" s="401">
        <f>'t10'!AV23</f>
        <v>0</v>
      </c>
      <c r="Z25" s="210" t="str">
        <f t="shared" si="3"/>
        <v>ERRORE</v>
      </c>
    </row>
    <row r="26" spans="1:26" ht="13.5" customHeight="1">
      <c r="A26" s="147" t="str">
        <f>'t1'!A24</f>
        <v>POSIZIONE ECONOMICA DI ACCESSO D1</v>
      </c>
      <c r="B26" s="205" t="str">
        <f>'t1'!B24</f>
        <v>057000</v>
      </c>
      <c r="C26" s="400">
        <f>'t1'!L24</f>
        <v>2</v>
      </c>
      <c r="D26" s="400">
        <f>'t3'!M24</f>
        <v>0</v>
      </c>
      <c r="E26" s="401">
        <f>'t3'!O24</f>
        <v>0</v>
      </c>
      <c r="F26" s="401">
        <f>'t3'!Q24</f>
        <v>0</v>
      </c>
      <c r="G26" s="401">
        <f>'t3'!C24</f>
        <v>0</v>
      </c>
      <c r="H26" s="401">
        <f>'t3'!E24</f>
        <v>0</v>
      </c>
      <c r="I26" s="401">
        <f>'t3'!G24</f>
        <v>0</v>
      </c>
      <c r="J26" s="401">
        <f>'t3'!I24</f>
        <v>0</v>
      </c>
      <c r="K26" s="401">
        <f>'t3'!K24</f>
        <v>0</v>
      </c>
      <c r="L26" s="401">
        <f t="shared" si="1"/>
        <v>2</v>
      </c>
      <c r="M26" s="401">
        <f>'t10'!AU24</f>
        <v>0</v>
      </c>
      <c r="N26" s="109" t="str">
        <f t="shared" si="2"/>
        <v>ERRORE</v>
      </c>
      <c r="O26" s="400">
        <f>'t1'!M24</f>
        <v>1</v>
      </c>
      <c r="P26" s="400">
        <f>'t3'!N24</f>
        <v>0</v>
      </c>
      <c r="Q26" s="401">
        <f>'t3'!P24</f>
        <v>0</v>
      </c>
      <c r="R26" s="401">
        <f>'t3'!R24</f>
        <v>0</v>
      </c>
      <c r="S26" s="401">
        <f>'t3'!D24</f>
        <v>0</v>
      </c>
      <c r="T26" s="401">
        <f>'t3'!F24</f>
        <v>0</v>
      </c>
      <c r="U26" s="401">
        <f>'t3'!H24</f>
        <v>0</v>
      </c>
      <c r="V26" s="401">
        <f>'t3'!J24</f>
        <v>0</v>
      </c>
      <c r="W26" s="401">
        <f>'t3'!L24</f>
        <v>0</v>
      </c>
      <c r="X26" s="401">
        <f t="shared" si="0"/>
        <v>1</v>
      </c>
      <c r="Y26" s="401">
        <f>'t10'!AV24</f>
        <v>0</v>
      </c>
      <c r="Z26" s="210" t="str">
        <f t="shared" si="3"/>
        <v>ERRORE</v>
      </c>
    </row>
    <row r="27" spans="1:26" ht="13.5" customHeight="1">
      <c r="A27" s="147" t="str">
        <f>'t1'!A25</f>
        <v>POSIZIONE ECONOMICA C5</v>
      </c>
      <c r="B27" s="205" t="str">
        <f>'t1'!B25</f>
        <v>046000</v>
      </c>
      <c r="C27" s="400">
        <f>'t1'!L25</f>
        <v>4</v>
      </c>
      <c r="D27" s="400">
        <f>'t3'!M25</f>
        <v>0</v>
      </c>
      <c r="E27" s="401">
        <f>'t3'!O25</f>
        <v>0</v>
      </c>
      <c r="F27" s="401">
        <f>'t3'!Q25</f>
        <v>0</v>
      </c>
      <c r="G27" s="401">
        <f>'t3'!C25</f>
        <v>0</v>
      </c>
      <c r="H27" s="401">
        <f>'t3'!E25</f>
        <v>0</v>
      </c>
      <c r="I27" s="401">
        <f>'t3'!G25</f>
        <v>0</v>
      </c>
      <c r="J27" s="401">
        <f>'t3'!I25</f>
        <v>0</v>
      </c>
      <c r="K27" s="401">
        <f>'t3'!K25</f>
        <v>0</v>
      </c>
      <c r="L27" s="401">
        <f t="shared" si="1"/>
        <v>4</v>
      </c>
      <c r="M27" s="401">
        <f>'t10'!AU25</f>
        <v>0</v>
      </c>
      <c r="N27" s="109" t="str">
        <f t="shared" si="2"/>
        <v>ERRORE</v>
      </c>
      <c r="O27" s="400">
        <f>'t1'!M25</f>
        <v>0</v>
      </c>
      <c r="P27" s="400">
        <f>'t3'!N25</f>
        <v>0</v>
      </c>
      <c r="Q27" s="401">
        <f>'t3'!P25</f>
        <v>0</v>
      </c>
      <c r="R27" s="401">
        <f>'t3'!R25</f>
        <v>0</v>
      </c>
      <c r="S27" s="401">
        <f>'t3'!D25</f>
        <v>0</v>
      </c>
      <c r="T27" s="401">
        <f>'t3'!F25</f>
        <v>0</v>
      </c>
      <c r="U27" s="401">
        <f>'t3'!H25</f>
        <v>0</v>
      </c>
      <c r="V27" s="401">
        <f>'t3'!J25</f>
        <v>0</v>
      </c>
      <c r="W27" s="401">
        <f>'t3'!L25</f>
        <v>0</v>
      </c>
      <c r="X27" s="401">
        <f t="shared" si="0"/>
        <v>0</v>
      </c>
      <c r="Y27" s="401">
        <f>'t10'!AV25</f>
        <v>0</v>
      </c>
      <c r="Z27" s="210" t="str">
        <f t="shared" si="3"/>
        <v>OK</v>
      </c>
    </row>
    <row r="28" spans="1:26" ht="13.5" customHeight="1">
      <c r="A28" s="147" t="str">
        <f>'t1'!A26</f>
        <v>POSIZIONE ECONOMICA C4</v>
      </c>
      <c r="B28" s="205" t="str">
        <f>'t1'!B26</f>
        <v>045000</v>
      </c>
      <c r="C28" s="400">
        <f>'t1'!L26</f>
        <v>17</v>
      </c>
      <c r="D28" s="400">
        <f>'t3'!M26</f>
        <v>0</v>
      </c>
      <c r="E28" s="401">
        <f>'t3'!O26</f>
        <v>0</v>
      </c>
      <c r="F28" s="401">
        <f>'t3'!Q26</f>
        <v>0</v>
      </c>
      <c r="G28" s="401">
        <f>'t3'!C26</f>
        <v>0</v>
      </c>
      <c r="H28" s="401">
        <f>'t3'!E26</f>
        <v>0</v>
      </c>
      <c r="I28" s="401">
        <f>'t3'!G26</f>
        <v>0</v>
      </c>
      <c r="J28" s="401">
        <f>'t3'!I26</f>
        <v>0</v>
      </c>
      <c r="K28" s="401">
        <f>'t3'!K26</f>
        <v>0</v>
      </c>
      <c r="L28" s="401">
        <f t="shared" si="1"/>
        <v>17</v>
      </c>
      <c r="M28" s="401">
        <f>'t10'!AU26</f>
        <v>0</v>
      </c>
      <c r="N28" s="109" t="str">
        <f t="shared" si="2"/>
        <v>ERRORE</v>
      </c>
      <c r="O28" s="400">
        <f>'t1'!M26</f>
        <v>3</v>
      </c>
      <c r="P28" s="400">
        <f>'t3'!N26</f>
        <v>0</v>
      </c>
      <c r="Q28" s="401">
        <f>'t3'!P26</f>
        <v>0</v>
      </c>
      <c r="R28" s="401">
        <f>'t3'!R26</f>
        <v>0</v>
      </c>
      <c r="S28" s="401">
        <f>'t3'!D26</f>
        <v>0</v>
      </c>
      <c r="T28" s="401">
        <f>'t3'!F26</f>
        <v>0</v>
      </c>
      <c r="U28" s="401">
        <f>'t3'!H26</f>
        <v>0</v>
      </c>
      <c r="V28" s="401">
        <f>'t3'!J26</f>
        <v>0</v>
      </c>
      <c r="W28" s="401">
        <f>'t3'!L26</f>
        <v>0</v>
      </c>
      <c r="X28" s="401">
        <f t="shared" si="0"/>
        <v>3</v>
      </c>
      <c r="Y28" s="401">
        <f>'t10'!AV26</f>
        <v>0</v>
      </c>
      <c r="Z28" s="210" t="str">
        <f t="shared" si="3"/>
        <v>ERRORE</v>
      </c>
    </row>
    <row r="29" spans="1:26" ht="13.5" customHeight="1">
      <c r="A29" s="147" t="str">
        <f>'t1'!A27</f>
        <v>POSIZIONE ECONOMICA C3</v>
      </c>
      <c r="B29" s="205" t="str">
        <f>'t1'!B27</f>
        <v>043000</v>
      </c>
      <c r="C29" s="400">
        <f>'t1'!L27</f>
        <v>18</v>
      </c>
      <c r="D29" s="400">
        <f>'t3'!M27</f>
        <v>0</v>
      </c>
      <c r="E29" s="401">
        <f>'t3'!O27</f>
        <v>0</v>
      </c>
      <c r="F29" s="401">
        <f>'t3'!Q27</f>
        <v>0</v>
      </c>
      <c r="G29" s="401">
        <f>'t3'!C27</f>
        <v>0</v>
      </c>
      <c r="H29" s="401">
        <f>'t3'!E27</f>
        <v>0</v>
      </c>
      <c r="I29" s="401">
        <f>'t3'!G27</f>
        <v>0</v>
      </c>
      <c r="J29" s="401">
        <f>'t3'!I27</f>
        <v>0</v>
      </c>
      <c r="K29" s="401">
        <f>'t3'!K27</f>
        <v>0</v>
      </c>
      <c r="L29" s="401">
        <f t="shared" si="1"/>
        <v>18</v>
      </c>
      <c r="M29" s="401">
        <f>'t10'!AU27</f>
        <v>0</v>
      </c>
      <c r="N29" s="109" t="str">
        <f t="shared" si="2"/>
        <v>ERRORE</v>
      </c>
      <c r="O29" s="400">
        <f>'t1'!M27</f>
        <v>13</v>
      </c>
      <c r="P29" s="400">
        <f>'t3'!N27</f>
        <v>0</v>
      </c>
      <c r="Q29" s="401">
        <f>'t3'!P27</f>
        <v>0</v>
      </c>
      <c r="R29" s="401">
        <f>'t3'!R27</f>
        <v>0</v>
      </c>
      <c r="S29" s="401">
        <f>'t3'!D27</f>
        <v>0</v>
      </c>
      <c r="T29" s="401">
        <f>'t3'!F27</f>
        <v>0</v>
      </c>
      <c r="U29" s="401">
        <f>'t3'!H27</f>
        <v>0</v>
      </c>
      <c r="V29" s="401">
        <f>'t3'!J27</f>
        <v>0</v>
      </c>
      <c r="W29" s="401">
        <f>'t3'!L27</f>
        <v>0</v>
      </c>
      <c r="X29" s="401">
        <f t="shared" si="0"/>
        <v>13</v>
      </c>
      <c r="Y29" s="401">
        <f>'t10'!AV27</f>
        <v>0</v>
      </c>
      <c r="Z29" s="210" t="str">
        <f t="shared" si="3"/>
        <v>ERRORE</v>
      </c>
    </row>
    <row r="30" spans="1:26" ht="13.5" customHeight="1">
      <c r="A30" s="147" t="str">
        <f>'t1'!A28</f>
        <v>POSIZIONE ECONOMICA C2</v>
      </c>
      <c r="B30" s="205" t="str">
        <f>'t1'!B28</f>
        <v>042000</v>
      </c>
      <c r="C30" s="400">
        <f>'t1'!L28</f>
        <v>23</v>
      </c>
      <c r="D30" s="400">
        <f>'t3'!M28</f>
        <v>0</v>
      </c>
      <c r="E30" s="401">
        <f>'t3'!O28</f>
        <v>0</v>
      </c>
      <c r="F30" s="401">
        <f>'t3'!Q28</f>
        <v>0</v>
      </c>
      <c r="G30" s="401">
        <f>'t3'!C28</f>
        <v>0</v>
      </c>
      <c r="H30" s="401">
        <f>'t3'!E28</f>
        <v>0</v>
      </c>
      <c r="I30" s="401">
        <f>'t3'!G28</f>
        <v>0</v>
      </c>
      <c r="J30" s="401">
        <f>'t3'!I28</f>
        <v>0</v>
      </c>
      <c r="K30" s="401">
        <f>'t3'!K28</f>
        <v>0</v>
      </c>
      <c r="L30" s="401">
        <f t="shared" si="1"/>
        <v>23</v>
      </c>
      <c r="M30" s="401">
        <f>'t10'!AU28</f>
        <v>0</v>
      </c>
      <c r="N30" s="109" t="str">
        <f t="shared" si="2"/>
        <v>ERRORE</v>
      </c>
      <c r="O30" s="400">
        <f>'t1'!M28</f>
        <v>16</v>
      </c>
      <c r="P30" s="400">
        <f>'t3'!N28</f>
        <v>0</v>
      </c>
      <c r="Q30" s="401">
        <f>'t3'!P28</f>
        <v>0</v>
      </c>
      <c r="R30" s="401">
        <f>'t3'!R28</f>
        <v>0</v>
      </c>
      <c r="S30" s="401">
        <f>'t3'!D28</f>
        <v>0</v>
      </c>
      <c r="T30" s="401">
        <f>'t3'!F28</f>
        <v>0</v>
      </c>
      <c r="U30" s="401">
        <f>'t3'!H28</f>
        <v>0</v>
      </c>
      <c r="V30" s="401">
        <f>'t3'!J28</f>
        <v>0</v>
      </c>
      <c r="W30" s="401">
        <f>'t3'!L28</f>
        <v>0</v>
      </c>
      <c r="X30" s="401">
        <f t="shared" si="0"/>
        <v>16</v>
      </c>
      <c r="Y30" s="401">
        <f>'t10'!AV28</f>
        <v>0</v>
      </c>
      <c r="Z30" s="210" t="str">
        <f t="shared" si="3"/>
        <v>ERRORE</v>
      </c>
    </row>
    <row r="31" spans="1:26" ht="13.5" customHeight="1">
      <c r="A31" s="147" t="str">
        <f>'t1'!A29</f>
        <v>POSIZIONE ECONOMICA DI ACCESSO C1</v>
      </c>
      <c r="B31" s="205" t="str">
        <f>'t1'!B29</f>
        <v>056000</v>
      </c>
      <c r="C31" s="400">
        <f>'t1'!L29</f>
        <v>0</v>
      </c>
      <c r="D31" s="400">
        <f>'t3'!M29</f>
        <v>0</v>
      </c>
      <c r="E31" s="401">
        <f>'t3'!O29</f>
        <v>0</v>
      </c>
      <c r="F31" s="401">
        <f>'t3'!Q29</f>
        <v>0</v>
      </c>
      <c r="G31" s="401">
        <f>'t3'!C29</f>
        <v>0</v>
      </c>
      <c r="H31" s="401">
        <f>'t3'!E29</f>
        <v>0</v>
      </c>
      <c r="I31" s="401">
        <f>'t3'!G29</f>
        <v>0</v>
      </c>
      <c r="J31" s="401">
        <f>'t3'!I29</f>
        <v>0</v>
      </c>
      <c r="K31" s="401">
        <f>'t3'!K29</f>
        <v>0</v>
      </c>
      <c r="L31" s="401">
        <f t="shared" si="1"/>
        <v>0</v>
      </c>
      <c r="M31" s="401">
        <f>'t10'!AU29</f>
        <v>0</v>
      </c>
      <c r="N31" s="109" t="str">
        <f t="shared" si="2"/>
        <v>OK</v>
      </c>
      <c r="O31" s="400">
        <f>'t1'!M29</f>
        <v>0</v>
      </c>
      <c r="P31" s="400">
        <f>'t3'!N29</f>
        <v>0</v>
      </c>
      <c r="Q31" s="401">
        <f>'t3'!P29</f>
        <v>0</v>
      </c>
      <c r="R31" s="401">
        <f>'t3'!R29</f>
        <v>0</v>
      </c>
      <c r="S31" s="401">
        <f>'t3'!D29</f>
        <v>0</v>
      </c>
      <c r="T31" s="401">
        <f>'t3'!F29</f>
        <v>0</v>
      </c>
      <c r="U31" s="401">
        <f>'t3'!H29</f>
        <v>0</v>
      </c>
      <c r="V31" s="401">
        <f>'t3'!J29</f>
        <v>0</v>
      </c>
      <c r="W31" s="401">
        <f>'t3'!L29</f>
        <v>0</v>
      </c>
      <c r="X31" s="401">
        <f t="shared" si="0"/>
        <v>0</v>
      </c>
      <c r="Y31" s="401">
        <f>'t10'!AV29</f>
        <v>0</v>
      </c>
      <c r="Z31" s="210" t="str">
        <f t="shared" si="3"/>
        <v>OK</v>
      </c>
    </row>
    <row r="32" spans="1:26" ht="13.5" customHeight="1">
      <c r="A32" s="147" t="str">
        <f>'t1'!A30</f>
        <v>POSIZ. ECON. B7 - PROFILO ACCESSO B3</v>
      </c>
      <c r="B32" s="205" t="str">
        <f>'t1'!B30</f>
        <v>0B7A00</v>
      </c>
      <c r="C32" s="400">
        <f>'t1'!L30</f>
        <v>0</v>
      </c>
      <c r="D32" s="400">
        <f>'t3'!M30</f>
        <v>0</v>
      </c>
      <c r="E32" s="401">
        <f>'t3'!O30</f>
        <v>0</v>
      </c>
      <c r="F32" s="401">
        <f>'t3'!Q30</f>
        <v>0</v>
      </c>
      <c r="G32" s="401">
        <f>'t3'!C30</f>
        <v>0</v>
      </c>
      <c r="H32" s="401">
        <f>'t3'!E30</f>
        <v>0</v>
      </c>
      <c r="I32" s="401">
        <f>'t3'!G30</f>
        <v>0</v>
      </c>
      <c r="J32" s="401">
        <f>'t3'!I30</f>
        <v>0</v>
      </c>
      <c r="K32" s="401">
        <f>'t3'!K30</f>
        <v>0</v>
      </c>
      <c r="L32" s="401">
        <f t="shared" si="1"/>
        <v>0</v>
      </c>
      <c r="M32" s="401">
        <f>'t10'!AU30</f>
        <v>0</v>
      </c>
      <c r="N32" s="109" t="str">
        <f t="shared" si="2"/>
        <v>OK</v>
      </c>
      <c r="O32" s="400">
        <f>'t1'!M30</f>
        <v>0</v>
      </c>
      <c r="P32" s="400">
        <f>'t3'!N30</f>
        <v>0</v>
      </c>
      <c r="Q32" s="401">
        <f>'t3'!P30</f>
        <v>0</v>
      </c>
      <c r="R32" s="401">
        <f>'t3'!R30</f>
        <v>0</v>
      </c>
      <c r="S32" s="401">
        <f>'t3'!D30</f>
        <v>0</v>
      </c>
      <c r="T32" s="401">
        <f>'t3'!F30</f>
        <v>0</v>
      </c>
      <c r="U32" s="401">
        <f>'t3'!H30</f>
        <v>0</v>
      </c>
      <c r="V32" s="401">
        <f>'t3'!J30</f>
        <v>0</v>
      </c>
      <c r="W32" s="401">
        <f>'t3'!L30</f>
        <v>0</v>
      </c>
      <c r="X32" s="401">
        <f t="shared" si="0"/>
        <v>0</v>
      </c>
      <c r="Y32" s="401">
        <f>'t10'!AV30</f>
        <v>0</v>
      </c>
      <c r="Z32" s="210" t="str">
        <f t="shared" si="3"/>
        <v>OK</v>
      </c>
    </row>
    <row r="33" spans="1:26" ht="13.5" customHeight="1">
      <c r="A33" s="147" t="str">
        <f>'t1'!A31</f>
        <v>POSIZ. ECON. B7 - PROFILO  ACCESSO B1</v>
      </c>
      <c r="B33" s="205" t="str">
        <f>'t1'!B31</f>
        <v>0B7000</v>
      </c>
      <c r="C33" s="400">
        <f>'t1'!L31</f>
        <v>0</v>
      </c>
      <c r="D33" s="400">
        <f>'t3'!M31</f>
        <v>0</v>
      </c>
      <c r="E33" s="401">
        <f>'t3'!O31</f>
        <v>0</v>
      </c>
      <c r="F33" s="401">
        <f>'t3'!Q31</f>
        <v>0</v>
      </c>
      <c r="G33" s="401">
        <f>'t3'!C31</f>
        <v>0</v>
      </c>
      <c r="H33" s="401">
        <f>'t3'!E31</f>
        <v>0</v>
      </c>
      <c r="I33" s="401">
        <f>'t3'!G31</f>
        <v>0</v>
      </c>
      <c r="J33" s="401">
        <f>'t3'!I31</f>
        <v>0</v>
      </c>
      <c r="K33" s="401">
        <f>'t3'!K31</f>
        <v>0</v>
      </c>
      <c r="L33" s="401">
        <f t="shared" si="1"/>
        <v>0</v>
      </c>
      <c r="M33" s="401">
        <f>'t10'!AU31</f>
        <v>0</v>
      </c>
      <c r="N33" s="109" t="str">
        <f t="shared" si="2"/>
        <v>OK</v>
      </c>
      <c r="O33" s="400">
        <f>'t1'!M31</f>
        <v>0</v>
      </c>
      <c r="P33" s="400">
        <f>'t3'!N31</f>
        <v>0</v>
      </c>
      <c r="Q33" s="401">
        <f>'t3'!P31</f>
        <v>0</v>
      </c>
      <c r="R33" s="401">
        <f>'t3'!R31</f>
        <v>0</v>
      </c>
      <c r="S33" s="401">
        <f>'t3'!D31</f>
        <v>0</v>
      </c>
      <c r="T33" s="401">
        <f>'t3'!F31</f>
        <v>0</v>
      </c>
      <c r="U33" s="401">
        <f>'t3'!H31</f>
        <v>0</v>
      </c>
      <c r="V33" s="401">
        <f>'t3'!J31</f>
        <v>0</v>
      </c>
      <c r="W33" s="401">
        <f>'t3'!L31</f>
        <v>0</v>
      </c>
      <c r="X33" s="401">
        <f t="shared" si="0"/>
        <v>0</v>
      </c>
      <c r="Y33" s="401">
        <f>'t10'!AV31</f>
        <v>0</v>
      </c>
      <c r="Z33" s="210" t="str">
        <f t="shared" si="3"/>
        <v>OK</v>
      </c>
    </row>
    <row r="34" spans="1:26" ht="13.5" customHeight="1">
      <c r="A34" s="147" t="str">
        <f>'t1'!A32</f>
        <v>POSIZ.ECON. B6 PROFILI ACCESSO B3</v>
      </c>
      <c r="B34" s="205" t="str">
        <f>'t1'!B32</f>
        <v>038490</v>
      </c>
      <c r="C34" s="400">
        <f>'t1'!L32</f>
        <v>0</v>
      </c>
      <c r="D34" s="400">
        <f>'t3'!M32</f>
        <v>0</v>
      </c>
      <c r="E34" s="401">
        <f>'t3'!O32</f>
        <v>0</v>
      </c>
      <c r="F34" s="401">
        <f>'t3'!Q32</f>
        <v>0</v>
      </c>
      <c r="G34" s="401">
        <f>'t3'!C32</f>
        <v>0</v>
      </c>
      <c r="H34" s="401">
        <f>'t3'!E32</f>
        <v>0</v>
      </c>
      <c r="I34" s="401">
        <f>'t3'!G32</f>
        <v>0</v>
      </c>
      <c r="J34" s="401">
        <f>'t3'!I32</f>
        <v>0</v>
      </c>
      <c r="K34" s="401">
        <f>'t3'!K32</f>
        <v>0</v>
      </c>
      <c r="L34" s="401">
        <f t="shared" si="1"/>
        <v>0</v>
      </c>
      <c r="M34" s="401">
        <f>'t10'!AU32</f>
        <v>0</v>
      </c>
      <c r="N34" s="109" t="str">
        <f t="shared" si="2"/>
        <v>OK</v>
      </c>
      <c r="O34" s="400">
        <f>'t1'!M32</f>
        <v>0</v>
      </c>
      <c r="P34" s="400">
        <f>'t3'!N32</f>
        <v>0</v>
      </c>
      <c r="Q34" s="401">
        <f>'t3'!P32</f>
        <v>0</v>
      </c>
      <c r="R34" s="401">
        <f>'t3'!R32</f>
        <v>0</v>
      </c>
      <c r="S34" s="401">
        <f>'t3'!D32</f>
        <v>0</v>
      </c>
      <c r="T34" s="401">
        <f>'t3'!F32</f>
        <v>0</v>
      </c>
      <c r="U34" s="401">
        <f>'t3'!H32</f>
        <v>0</v>
      </c>
      <c r="V34" s="401">
        <f>'t3'!J32</f>
        <v>0</v>
      </c>
      <c r="W34" s="401">
        <f>'t3'!L32</f>
        <v>0</v>
      </c>
      <c r="X34" s="401">
        <f t="shared" si="0"/>
        <v>0</v>
      </c>
      <c r="Y34" s="401">
        <f>'t10'!AV32</f>
        <v>0</v>
      </c>
      <c r="Z34" s="210" t="str">
        <f t="shared" si="3"/>
        <v>OK</v>
      </c>
    </row>
    <row r="35" spans="1:26" ht="13.5" customHeight="1">
      <c r="A35" s="147" t="str">
        <f>'t1'!A33</f>
        <v>POSIZ.ECON. B6 PROFILI ACCESSO B1</v>
      </c>
      <c r="B35" s="205" t="str">
        <f>'t1'!B33</f>
        <v>038491</v>
      </c>
      <c r="C35" s="400">
        <f>'t1'!L33</f>
        <v>0</v>
      </c>
      <c r="D35" s="400">
        <f>'t3'!M33</f>
        <v>0</v>
      </c>
      <c r="E35" s="401">
        <f>'t3'!O33</f>
        <v>0</v>
      </c>
      <c r="F35" s="401">
        <f>'t3'!Q33</f>
        <v>0</v>
      </c>
      <c r="G35" s="401">
        <f>'t3'!C33</f>
        <v>0</v>
      </c>
      <c r="H35" s="401">
        <f>'t3'!E33</f>
        <v>0</v>
      </c>
      <c r="I35" s="401">
        <f>'t3'!G33</f>
        <v>0</v>
      </c>
      <c r="J35" s="401">
        <f>'t3'!I33</f>
        <v>0</v>
      </c>
      <c r="K35" s="401">
        <f>'t3'!K33</f>
        <v>0</v>
      </c>
      <c r="L35" s="401">
        <f t="shared" si="1"/>
        <v>0</v>
      </c>
      <c r="M35" s="401">
        <f>'t10'!AU33</f>
        <v>0</v>
      </c>
      <c r="N35" s="109" t="str">
        <f t="shared" si="2"/>
        <v>OK</v>
      </c>
      <c r="O35" s="400">
        <f>'t1'!M33</f>
        <v>0</v>
      </c>
      <c r="P35" s="400">
        <f>'t3'!N33</f>
        <v>0</v>
      </c>
      <c r="Q35" s="401">
        <f>'t3'!P33</f>
        <v>0</v>
      </c>
      <c r="R35" s="401">
        <f>'t3'!R33</f>
        <v>0</v>
      </c>
      <c r="S35" s="401">
        <f>'t3'!D33</f>
        <v>0</v>
      </c>
      <c r="T35" s="401">
        <f>'t3'!F33</f>
        <v>0</v>
      </c>
      <c r="U35" s="401">
        <f>'t3'!H33</f>
        <v>0</v>
      </c>
      <c r="V35" s="401">
        <f>'t3'!J33</f>
        <v>0</v>
      </c>
      <c r="W35" s="401">
        <f>'t3'!L33</f>
        <v>0</v>
      </c>
      <c r="X35" s="401">
        <f t="shared" si="0"/>
        <v>0</v>
      </c>
      <c r="Y35" s="401">
        <f>'t10'!AV33</f>
        <v>0</v>
      </c>
      <c r="Z35" s="210" t="str">
        <f t="shared" si="3"/>
        <v>OK</v>
      </c>
    </row>
    <row r="36" spans="1:26" ht="13.5" customHeight="1">
      <c r="A36" s="147" t="str">
        <f>'t1'!A34</f>
        <v>POSIZ.ECON. B5 PROFILI ACCESSO B3</v>
      </c>
      <c r="B36" s="205" t="str">
        <f>'t1'!B34</f>
        <v>037492</v>
      </c>
      <c r="C36" s="400">
        <f>'t1'!L34</f>
        <v>1</v>
      </c>
      <c r="D36" s="400">
        <f>'t3'!M34</f>
        <v>0</v>
      </c>
      <c r="E36" s="401">
        <f>'t3'!O34</f>
        <v>0</v>
      </c>
      <c r="F36" s="401">
        <f>'t3'!Q34</f>
        <v>0</v>
      </c>
      <c r="G36" s="401">
        <f>'t3'!C34</f>
        <v>0</v>
      </c>
      <c r="H36" s="401">
        <f>'t3'!E34</f>
        <v>0</v>
      </c>
      <c r="I36" s="401">
        <f>'t3'!G34</f>
        <v>0</v>
      </c>
      <c r="J36" s="401">
        <f>'t3'!I34</f>
        <v>0</v>
      </c>
      <c r="K36" s="401">
        <f>'t3'!K34</f>
        <v>0</v>
      </c>
      <c r="L36" s="401">
        <f t="shared" si="1"/>
        <v>1</v>
      </c>
      <c r="M36" s="401">
        <f>'t10'!AU34</f>
        <v>0</v>
      </c>
      <c r="N36" s="109" t="str">
        <f t="shared" si="2"/>
        <v>ERRORE</v>
      </c>
      <c r="O36" s="400">
        <f>'t1'!M34</f>
        <v>0</v>
      </c>
      <c r="P36" s="400">
        <f>'t3'!N34</f>
        <v>0</v>
      </c>
      <c r="Q36" s="401">
        <f>'t3'!P34</f>
        <v>0</v>
      </c>
      <c r="R36" s="401">
        <f>'t3'!R34</f>
        <v>0</v>
      </c>
      <c r="S36" s="401">
        <f>'t3'!D34</f>
        <v>0</v>
      </c>
      <c r="T36" s="401">
        <f>'t3'!F34</f>
        <v>0</v>
      </c>
      <c r="U36" s="401">
        <f>'t3'!H34</f>
        <v>0</v>
      </c>
      <c r="V36" s="401">
        <f>'t3'!J34</f>
        <v>0</v>
      </c>
      <c r="W36" s="401">
        <f>'t3'!L34</f>
        <v>0</v>
      </c>
      <c r="X36" s="401">
        <f t="shared" si="0"/>
        <v>0</v>
      </c>
      <c r="Y36" s="401">
        <f>'t10'!AV34</f>
        <v>0</v>
      </c>
      <c r="Z36" s="210" t="str">
        <f t="shared" si="3"/>
        <v>OK</v>
      </c>
    </row>
    <row r="37" spans="1:26" ht="13.5" customHeight="1">
      <c r="A37" s="147" t="str">
        <f>'t1'!A35</f>
        <v>POSIZ.ECON. B5 PROFILI ACCESSO B1</v>
      </c>
      <c r="B37" s="205" t="str">
        <f>'t1'!B35</f>
        <v>037493</v>
      </c>
      <c r="C37" s="400">
        <f>'t1'!L35</f>
        <v>0</v>
      </c>
      <c r="D37" s="400">
        <f>'t3'!M35</f>
        <v>0</v>
      </c>
      <c r="E37" s="401">
        <f>'t3'!O35</f>
        <v>0</v>
      </c>
      <c r="F37" s="401">
        <f>'t3'!Q35</f>
        <v>0</v>
      </c>
      <c r="G37" s="401">
        <f>'t3'!C35</f>
        <v>0</v>
      </c>
      <c r="H37" s="401">
        <f>'t3'!E35</f>
        <v>0</v>
      </c>
      <c r="I37" s="401">
        <f>'t3'!G35</f>
        <v>0</v>
      </c>
      <c r="J37" s="401">
        <f>'t3'!I35</f>
        <v>0</v>
      </c>
      <c r="K37" s="401">
        <f>'t3'!K35</f>
        <v>0</v>
      </c>
      <c r="L37" s="401">
        <f t="shared" si="1"/>
        <v>0</v>
      </c>
      <c r="M37" s="401">
        <f>'t10'!AU35</f>
        <v>0</v>
      </c>
      <c r="N37" s="109" t="str">
        <f t="shared" si="2"/>
        <v>OK</v>
      </c>
      <c r="O37" s="400">
        <f>'t1'!M35</f>
        <v>0</v>
      </c>
      <c r="P37" s="400">
        <f>'t3'!N35</f>
        <v>0</v>
      </c>
      <c r="Q37" s="401">
        <f>'t3'!P35</f>
        <v>0</v>
      </c>
      <c r="R37" s="401">
        <f>'t3'!R35</f>
        <v>0</v>
      </c>
      <c r="S37" s="401">
        <f>'t3'!D35</f>
        <v>0</v>
      </c>
      <c r="T37" s="401">
        <f>'t3'!F35</f>
        <v>0</v>
      </c>
      <c r="U37" s="401">
        <f>'t3'!H35</f>
        <v>0</v>
      </c>
      <c r="V37" s="401">
        <f>'t3'!J35</f>
        <v>0</v>
      </c>
      <c r="W37" s="401">
        <f>'t3'!L35</f>
        <v>0</v>
      </c>
      <c r="X37" s="401">
        <f t="shared" si="0"/>
        <v>0</v>
      </c>
      <c r="Y37" s="401">
        <f>'t10'!AV35</f>
        <v>0</v>
      </c>
      <c r="Z37" s="210" t="str">
        <f t="shared" si="3"/>
        <v>OK</v>
      </c>
    </row>
    <row r="38" spans="1:26" ht="13.5" customHeight="1">
      <c r="A38" s="147" t="str">
        <f>'t1'!A36</f>
        <v>POSIZ.ECON. B4 PROFILI ACCESSO B3</v>
      </c>
      <c r="B38" s="205" t="str">
        <f>'t1'!B36</f>
        <v>036494</v>
      </c>
      <c r="C38" s="400">
        <f>'t1'!L36</f>
        <v>30</v>
      </c>
      <c r="D38" s="400">
        <f>'t3'!M36</f>
        <v>0</v>
      </c>
      <c r="E38" s="401">
        <f>'t3'!O36</f>
        <v>0</v>
      </c>
      <c r="F38" s="401">
        <f>'t3'!Q36</f>
        <v>0</v>
      </c>
      <c r="G38" s="401">
        <f>'t3'!C36</f>
        <v>0</v>
      </c>
      <c r="H38" s="401">
        <f>'t3'!E36</f>
        <v>0</v>
      </c>
      <c r="I38" s="401">
        <f>'t3'!G36</f>
        <v>0</v>
      </c>
      <c r="J38" s="401">
        <f>'t3'!I36</f>
        <v>0</v>
      </c>
      <c r="K38" s="401">
        <f>'t3'!K36</f>
        <v>0</v>
      </c>
      <c r="L38" s="401">
        <f t="shared" si="1"/>
        <v>30</v>
      </c>
      <c r="M38" s="401">
        <f>'t10'!AU36</f>
        <v>0</v>
      </c>
      <c r="N38" s="109" t="str">
        <f t="shared" si="2"/>
        <v>ERRORE</v>
      </c>
      <c r="O38" s="400">
        <f>'t1'!M36</f>
        <v>0</v>
      </c>
      <c r="P38" s="400">
        <f>'t3'!N36</f>
        <v>0</v>
      </c>
      <c r="Q38" s="401">
        <f>'t3'!P36</f>
        <v>0</v>
      </c>
      <c r="R38" s="401">
        <f>'t3'!R36</f>
        <v>0</v>
      </c>
      <c r="S38" s="401">
        <f>'t3'!D36</f>
        <v>0</v>
      </c>
      <c r="T38" s="401">
        <f>'t3'!F36</f>
        <v>0</v>
      </c>
      <c r="U38" s="401">
        <f>'t3'!H36</f>
        <v>0</v>
      </c>
      <c r="V38" s="401">
        <f>'t3'!J36</f>
        <v>0</v>
      </c>
      <c r="W38" s="401">
        <f>'t3'!L36</f>
        <v>0</v>
      </c>
      <c r="X38" s="401">
        <f t="shared" si="0"/>
        <v>0</v>
      </c>
      <c r="Y38" s="401">
        <f>'t10'!AV36</f>
        <v>0</v>
      </c>
      <c r="Z38" s="210" t="str">
        <f t="shared" si="3"/>
        <v>OK</v>
      </c>
    </row>
    <row r="39" spans="1:26" ht="13.5" customHeight="1">
      <c r="A39" s="147" t="str">
        <f>'t1'!A37</f>
        <v>POSIZ.ECON. B4 PROFILI ACCESSO B1</v>
      </c>
      <c r="B39" s="205" t="str">
        <f>'t1'!B37</f>
        <v>036495</v>
      </c>
      <c r="C39" s="400">
        <f>'t1'!L37</f>
        <v>1</v>
      </c>
      <c r="D39" s="400">
        <f>'t3'!M37</f>
        <v>0</v>
      </c>
      <c r="E39" s="401">
        <f>'t3'!O37</f>
        <v>0</v>
      </c>
      <c r="F39" s="401">
        <f>'t3'!Q37</f>
        <v>0</v>
      </c>
      <c r="G39" s="401">
        <f>'t3'!C37</f>
        <v>0</v>
      </c>
      <c r="H39" s="401">
        <f>'t3'!E37</f>
        <v>0</v>
      </c>
      <c r="I39" s="401">
        <f>'t3'!G37</f>
        <v>0</v>
      </c>
      <c r="J39" s="401">
        <f>'t3'!I37</f>
        <v>0</v>
      </c>
      <c r="K39" s="401">
        <f>'t3'!K37</f>
        <v>0</v>
      </c>
      <c r="L39" s="401">
        <f t="shared" si="1"/>
        <v>1</v>
      </c>
      <c r="M39" s="401">
        <f>'t10'!AU37</f>
        <v>0</v>
      </c>
      <c r="N39" s="109" t="str">
        <f t="shared" si="2"/>
        <v>ERRORE</v>
      </c>
      <c r="O39" s="400">
        <f>'t1'!M37</f>
        <v>1</v>
      </c>
      <c r="P39" s="400">
        <f>'t3'!N37</f>
        <v>0</v>
      </c>
      <c r="Q39" s="401">
        <f>'t3'!P37</f>
        <v>0</v>
      </c>
      <c r="R39" s="401">
        <f>'t3'!R37</f>
        <v>0</v>
      </c>
      <c r="S39" s="401">
        <f>'t3'!D37</f>
        <v>0</v>
      </c>
      <c r="T39" s="401">
        <f>'t3'!F37</f>
        <v>0</v>
      </c>
      <c r="U39" s="401">
        <f>'t3'!H37</f>
        <v>0</v>
      </c>
      <c r="V39" s="401">
        <f>'t3'!J37</f>
        <v>0</v>
      </c>
      <c r="W39" s="401">
        <f>'t3'!L37</f>
        <v>0</v>
      </c>
      <c r="X39" s="401">
        <f t="shared" si="0"/>
        <v>1</v>
      </c>
      <c r="Y39" s="401">
        <f>'t10'!AV37</f>
        <v>0</v>
      </c>
      <c r="Z39" s="210" t="str">
        <f t="shared" si="3"/>
        <v>ERRORE</v>
      </c>
    </row>
    <row r="40" spans="1:26" ht="13.5" customHeight="1">
      <c r="A40" s="147" t="str">
        <f>'t1'!A38</f>
        <v>POSIZIONE ECONOMICA DI ACCESSO B3</v>
      </c>
      <c r="B40" s="205" t="str">
        <f>'t1'!B38</f>
        <v>055000</v>
      </c>
      <c r="C40" s="400">
        <f>'t1'!L38</f>
        <v>12</v>
      </c>
      <c r="D40" s="400">
        <f>'t3'!M38</f>
        <v>0</v>
      </c>
      <c r="E40" s="401">
        <f>'t3'!O38</f>
        <v>0</v>
      </c>
      <c r="F40" s="401">
        <f>'t3'!Q38</f>
        <v>0</v>
      </c>
      <c r="G40" s="401">
        <f>'t3'!C38</f>
        <v>0</v>
      </c>
      <c r="H40" s="401">
        <f>'t3'!E38</f>
        <v>0</v>
      </c>
      <c r="I40" s="401">
        <f>'t3'!G38</f>
        <v>0</v>
      </c>
      <c r="J40" s="401">
        <f>'t3'!I38</f>
        <v>0</v>
      </c>
      <c r="K40" s="401">
        <f>'t3'!K38</f>
        <v>0</v>
      </c>
      <c r="L40" s="401">
        <f t="shared" si="1"/>
        <v>12</v>
      </c>
      <c r="M40" s="401">
        <f>'t10'!AU38</f>
        <v>0</v>
      </c>
      <c r="N40" s="109" t="str">
        <f t="shared" si="2"/>
        <v>ERRORE</v>
      </c>
      <c r="O40" s="400">
        <f>'t1'!M38</f>
        <v>0</v>
      </c>
      <c r="P40" s="400">
        <f>'t3'!N38</f>
        <v>0</v>
      </c>
      <c r="Q40" s="401">
        <f>'t3'!P38</f>
        <v>0</v>
      </c>
      <c r="R40" s="401">
        <f>'t3'!R38</f>
        <v>0</v>
      </c>
      <c r="S40" s="401">
        <f>'t3'!D38</f>
        <v>0</v>
      </c>
      <c r="T40" s="401">
        <f>'t3'!F38</f>
        <v>0</v>
      </c>
      <c r="U40" s="401">
        <f>'t3'!H38</f>
        <v>0</v>
      </c>
      <c r="V40" s="401">
        <f>'t3'!J38</f>
        <v>0</v>
      </c>
      <c r="W40" s="401">
        <f>'t3'!L38</f>
        <v>0</v>
      </c>
      <c r="X40" s="401">
        <f t="shared" si="0"/>
        <v>0</v>
      </c>
      <c r="Y40" s="401">
        <f>'t10'!AV38</f>
        <v>0</v>
      </c>
      <c r="Z40" s="210" t="str">
        <f t="shared" si="3"/>
        <v>OK</v>
      </c>
    </row>
    <row r="41" spans="1:26" ht="13.5" customHeight="1">
      <c r="A41" s="147" t="str">
        <f>'t1'!A39</f>
        <v>POSIZIONE ECONOMICA B3</v>
      </c>
      <c r="B41" s="205" t="str">
        <f>'t1'!B39</f>
        <v>034000</v>
      </c>
      <c r="C41" s="400">
        <f>'t1'!L39</f>
        <v>8</v>
      </c>
      <c r="D41" s="400">
        <f>'t3'!M39</f>
        <v>0</v>
      </c>
      <c r="E41" s="401">
        <f>'t3'!O39</f>
        <v>0</v>
      </c>
      <c r="F41" s="401">
        <f>'t3'!Q39</f>
        <v>0</v>
      </c>
      <c r="G41" s="401">
        <f>'t3'!C39</f>
        <v>0</v>
      </c>
      <c r="H41" s="401">
        <f>'t3'!E39</f>
        <v>0</v>
      </c>
      <c r="I41" s="401">
        <f>'t3'!G39</f>
        <v>0</v>
      </c>
      <c r="J41" s="401">
        <f>'t3'!I39</f>
        <v>0</v>
      </c>
      <c r="K41" s="401">
        <f>'t3'!K39</f>
        <v>0</v>
      </c>
      <c r="L41" s="401">
        <f t="shared" si="1"/>
        <v>8</v>
      </c>
      <c r="M41" s="401">
        <f>'t10'!AU39</f>
        <v>0</v>
      </c>
      <c r="N41" s="109" t="str">
        <f aca="true" t="shared" si="4" ref="N41:N51">IF(L41=M41,"OK","ERRORE")</f>
        <v>ERRORE</v>
      </c>
      <c r="O41" s="400">
        <f>'t1'!M39</f>
        <v>5</v>
      </c>
      <c r="P41" s="400">
        <f>'t3'!N39</f>
        <v>0</v>
      </c>
      <c r="Q41" s="401">
        <f>'t3'!P39</f>
        <v>0</v>
      </c>
      <c r="R41" s="401">
        <f>'t3'!R39</f>
        <v>0</v>
      </c>
      <c r="S41" s="401">
        <f>'t3'!D39</f>
        <v>0</v>
      </c>
      <c r="T41" s="401">
        <f>'t3'!F39</f>
        <v>0</v>
      </c>
      <c r="U41" s="401">
        <f>'t3'!H39</f>
        <v>0</v>
      </c>
      <c r="V41" s="401">
        <f>'t3'!J39</f>
        <v>0</v>
      </c>
      <c r="W41" s="401">
        <f>'t3'!L39</f>
        <v>0</v>
      </c>
      <c r="X41" s="401">
        <f t="shared" si="0"/>
        <v>5</v>
      </c>
      <c r="Y41" s="401">
        <f>'t10'!AV39</f>
        <v>0</v>
      </c>
      <c r="Z41" s="210" t="str">
        <f aca="true" t="shared" si="5" ref="Z41:Z51">IF(X41=Y41,"OK","ERRORE")</f>
        <v>ERRORE</v>
      </c>
    </row>
    <row r="42" spans="1:26" ht="13.5" customHeight="1">
      <c r="A42" s="147" t="str">
        <f>'t1'!A40</f>
        <v>POSIZIONE ECONOMICA B2</v>
      </c>
      <c r="B42" s="205" t="str">
        <f>'t1'!B40</f>
        <v>032000</v>
      </c>
      <c r="C42" s="400">
        <f>'t1'!L40</f>
        <v>4</v>
      </c>
      <c r="D42" s="400">
        <f>'t3'!M40</f>
        <v>0</v>
      </c>
      <c r="E42" s="401">
        <f>'t3'!O40</f>
        <v>0</v>
      </c>
      <c r="F42" s="401">
        <f>'t3'!Q40</f>
        <v>0</v>
      </c>
      <c r="G42" s="401">
        <f>'t3'!C40</f>
        <v>0</v>
      </c>
      <c r="H42" s="401">
        <f>'t3'!E40</f>
        <v>0</v>
      </c>
      <c r="I42" s="401">
        <f>'t3'!G40</f>
        <v>0</v>
      </c>
      <c r="J42" s="401">
        <f>'t3'!I40</f>
        <v>0</v>
      </c>
      <c r="K42" s="401">
        <f>'t3'!K40</f>
        <v>0</v>
      </c>
      <c r="L42" s="401">
        <f t="shared" si="1"/>
        <v>4</v>
      </c>
      <c r="M42" s="401">
        <f>'t10'!AU40</f>
        <v>0</v>
      </c>
      <c r="N42" s="109" t="str">
        <f t="shared" si="4"/>
        <v>ERRORE</v>
      </c>
      <c r="O42" s="400">
        <f>'t1'!M40</f>
        <v>6</v>
      </c>
      <c r="P42" s="400">
        <f>'t3'!N40</f>
        <v>0</v>
      </c>
      <c r="Q42" s="401">
        <f>'t3'!P40</f>
        <v>0</v>
      </c>
      <c r="R42" s="401">
        <f>'t3'!R40</f>
        <v>0</v>
      </c>
      <c r="S42" s="401">
        <f>'t3'!D40</f>
        <v>0</v>
      </c>
      <c r="T42" s="401">
        <f>'t3'!F40</f>
        <v>0</v>
      </c>
      <c r="U42" s="401">
        <f>'t3'!H40</f>
        <v>0</v>
      </c>
      <c r="V42" s="401">
        <f>'t3'!J40</f>
        <v>0</v>
      </c>
      <c r="W42" s="401">
        <f>'t3'!L40</f>
        <v>0</v>
      </c>
      <c r="X42" s="401">
        <f t="shared" si="0"/>
        <v>6</v>
      </c>
      <c r="Y42" s="401">
        <f>'t10'!AV40</f>
        <v>0</v>
      </c>
      <c r="Z42" s="210" t="str">
        <f t="shared" si="5"/>
        <v>ERRORE</v>
      </c>
    </row>
    <row r="43" spans="1:26" ht="13.5" customHeight="1">
      <c r="A43" s="147" t="str">
        <f>'t1'!A41</f>
        <v>POSIZIONE ECONOMICA DI ACCESSO B1</v>
      </c>
      <c r="B43" s="205" t="str">
        <f>'t1'!B41</f>
        <v>054000</v>
      </c>
      <c r="C43" s="400">
        <f>'t1'!L41</f>
        <v>0</v>
      </c>
      <c r="D43" s="400">
        <f>'t3'!M41</f>
        <v>0</v>
      </c>
      <c r="E43" s="401">
        <f>'t3'!O41</f>
        <v>0</v>
      </c>
      <c r="F43" s="401">
        <f>'t3'!Q41</f>
        <v>0</v>
      </c>
      <c r="G43" s="401">
        <f>'t3'!C41</f>
        <v>0</v>
      </c>
      <c r="H43" s="401">
        <f>'t3'!E41</f>
        <v>0</v>
      </c>
      <c r="I43" s="401">
        <f>'t3'!G41</f>
        <v>0</v>
      </c>
      <c r="J43" s="401">
        <f>'t3'!I41</f>
        <v>0</v>
      </c>
      <c r="K43" s="401">
        <f>'t3'!K41</f>
        <v>0</v>
      </c>
      <c r="L43" s="401">
        <f t="shared" si="1"/>
        <v>0</v>
      </c>
      <c r="M43" s="401">
        <f>'t10'!AU41</f>
        <v>0</v>
      </c>
      <c r="N43" s="109" t="str">
        <f t="shared" si="4"/>
        <v>OK</v>
      </c>
      <c r="O43" s="400">
        <f>'t1'!M41</f>
        <v>1</v>
      </c>
      <c r="P43" s="400">
        <f>'t3'!N41</f>
        <v>0</v>
      </c>
      <c r="Q43" s="401">
        <f>'t3'!P41</f>
        <v>0</v>
      </c>
      <c r="R43" s="401">
        <f>'t3'!R41</f>
        <v>0</v>
      </c>
      <c r="S43" s="401">
        <f>'t3'!D41</f>
        <v>0</v>
      </c>
      <c r="T43" s="401">
        <f>'t3'!F41</f>
        <v>0</v>
      </c>
      <c r="U43" s="401">
        <f>'t3'!H41</f>
        <v>0</v>
      </c>
      <c r="V43" s="401">
        <f>'t3'!J41</f>
        <v>0</v>
      </c>
      <c r="W43" s="401">
        <f>'t3'!L41</f>
        <v>0</v>
      </c>
      <c r="X43" s="401">
        <f t="shared" si="0"/>
        <v>1</v>
      </c>
      <c r="Y43" s="401">
        <f>'t10'!AV41</f>
        <v>0</v>
      </c>
      <c r="Z43" s="210" t="str">
        <f t="shared" si="5"/>
        <v>ERRORE</v>
      </c>
    </row>
    <row r="44" spans="1:26" ht="13.5" customHeight="1">
      <c r="A44" s="147" t="str">
        <f>'t1'!A42</f>
        <v>POSIZIONE ECONOMICA A5</v>
      </c>
      <c r="B44" s="205" t="str">
        <f>'t1'!B42</f>
        <v>0A5000</v>
      </c>
      <c r="C44" s="400">
        <f>'t1'!L42</f>
        <v>0</v>
      </c>
      <c r="D44" s="400">
        <f>'t3'!M42</f>
        <v>0</v>
      </c>
      <c r="E44" s="401">
        <f>'t3'!O42</f>
        <v>0</v>
      </c>
      <c r="F44" s="401">
        <f>'t3'!Q42</f>
        <v>0</v>
      </c>
      <c r="G44" s="401">
        <f>'t3'!C42</f>
        <v>0</v>
      </c>
      <c r="H44" s="401">
        <f>'t3'!E42</f>
        <v>0</v>
      </c>
      <c r="I44" s="401">
        <f>'t3'!G42</f>
        <v>0</v>
      </c>
      <c r="J44" s="401">
        <f>'t3'!I42</f>
        <v>0</v>
      </c>
      <c r="K44" s="401">
        <f>'t3'!K42</f>
        <v>0</v>
      </c>
      <c r="L44" s="401">
        <f t="shared" si="1"/>
        <v>0</v>
      </c>
      <c r="M44" s="401">
        <f>'t10'!AU42</f>
        <v>0</v>
      </c>
      <c r="N44" s="109" t="str">
        <f t="shared" si="4"/>
        <v>OK</v>
      </c>
      <c r="O44" s="400">
        <f>'t1'!M42</f>
        <v>0</v>
      </c>
      <c r="P44" s="400">
        <f>'t3'!N42</f>
        <v>0</v>
      </c>
      <c r="Q44" s="401">
        <f>'t3'!P42</f>
        <v>0</v>
      </c>
      <c r="R44" s="401">
        <f>'t3'!R42</f>
        <v>0</v>
      </c>
      <c r="S44" s="401">
        <f>'t3'!D42</f>
        <v>0</v>
      </c>
      <c r="T44" s="401">
        <f>'t3'!F42</f>
        <v>0</v>
      </c>
      <c r="U44" s="401">
        <f>'t3'!H42</f>
        <v>0</v>
      </c>
      <c r="V44" s="401">
        <f>'t3'!J42</f>
        <v>0</v>
      </c>
      <c r="W44" s="401">
        <f>'t3'!L42</f>
        <v>0</v>
      </c>
      <c r="X44" s="401">
        <f t="shared" si="0"/>
        <v>0</v>
      </c>
      <c r="Y44" s="401">
        <f>'t10'!AV42</f>
        <v>0</v>
      </c>
      <c r="Z44" s="210" t="str">
        <f t="shared" si="5"/>
        <v>OK</v>
      </c>
    </row>
    <row r="45" spans="1:26" ht="13.5" customHeight="1">
      <c r="A45" s="147" t="str">
        <f>'t1'!A43</f>
        <v>POSIZIONE ECONOMICA A4</v>
      </c>
      <c r="B45" s="205" t="str">
        <f>'t1'!B43</f>
        <v>028000</v>
      </c>
      <c r="C45" s="400">
        <f>'t1'!L43</f>
        <v>0</v>
      </c>
      <c r="D45" s="400">
        <f>'t3'!M43</f>
        <v>0</v>
      </c>
      <c r="E45" s="401">
        <f>'t3'!O43</f>
        <v>0</v>
      </c>
      <c r="F45" s="401">
        <f>'t3'!Q43</f>
        <v>0</v>
      </c>
      <c r="G45" s="401">
        <f>'t3'!C43</f>
        <v>0</v>
      </c>
      <c r="H45" s="401">
        <f>'t3'!E43</f>
        <v>0</v>
      </c>
      <c r="I45" s="401">
        <f>'t3'!G43</f>
        <v>0</v>
      </c>
      <c r="J45" s="401">
        <f>'t3'!I43</f>
        <v>0</v>
      </c>
      <c r="K45" s="401">
        <f>'t3'!K43</f>
        <v>0</v>
      </c>
      <c r="L45" s="401">
        <f t="shared" si="1"/>
        <v>0</v>
      </c>
      <c r="M45" s="401">
        <f>'t10'!AU43</f>
        <v>0</v>
      </c>
      <c r="N45" s="109" t="str">
        <f t="shared" si="4"/>
        <v>OK</v>
      </c>
      <c r="O45" s="400">
        <f>'t1'!M43</f>
        <v>0</v>
      </c>
      <c r="P45" s="400">
        <f>'t3'!N43</f>
        <v>0</v>
      </c>
      <c r="Q45" s="401">
        <f>'t3'!P43</f>
        <v>0</v>
      </c>
      <c r="R45" s="401">
        <f>'t3'!R43</f>
        <v>0</v>
      </c>
      <c r="S45" s="401">
        <f>'t3'!D43</f>
        <v>0</v>
      </c>
      <c r="T45" s="401">
        <f>'t3'!F43</f>
        <v>0</v>
      </c>
      <c r="U45" s="401">
        <f>'t3'!H43</f>
        <v>0</v>
      </c>
      <c r="V45" s="401">
        <f>'t3'!J43</f>
        <v>0</v>
      </c>
      <c r="W45" s="401">
        <f>'t3'!L43</f>
        <v>0</v>
      </c>
      <c r="X45" s="401">
        <f t="shared" si="0"/>
        <v>0</v>
      </c>
      <c r="Y45" s="401">
        <f>'t10'!AV43</f>
        <v>0</v>
      </c>
      <c r="Z45" s="210" t="str">
        <f t="shared" si="5"/>
        <v>OK</v>
      </c>
    </row>
    <row r="46" spans="1:26" ht="13.5" customHeight="1">
      <c r="A46" s="147" t="str">
        <f>'t1'!A44</f>
        <v>POSIZIONE ECONOMICA A3</v>
      </c>
      <c r="B46" s="205" t="str">
        <f>'t1'!B44</f>
        <v>027000</v>
      </c>
      <c r="C46" s="400">
        <f>'t1'!L44</f>
        <v>0</v>
      </c>
      <c r="D46" s="400">
        <f>'t3'!M44</f>
        <v>0</v>
      </c>
      <c r="E46" s="401">
        <f>'t3'!O44</f>
        <v>0</v>
      </c>
      <c r="F46" s="401">
        <f>'t3'!Q44</f>
        <v>0</v>
      </c>
      <c r="G46" s="401">
        <f>'t3'!C44</f>
        <v>0</v>
      </c>
      <c r="H46" s="401">
        <f>'t3'!E44</f>
        <v>0</v>
      </c>
      <c r="I46" s="401">
        <f>'t3'!G44</f>
        <v>0</v>
      </c>
      <c r="J46" s="401">
        <f>'t3'!I44</f>
        <v>0</v>
      </c>
      <c r="K46" s="401">
        <f>'t3'!K44</f>
        <v>0</v>
      </c>
      <c r="L46" s="401">
        <f t="shared" si="1"/>
        <v>0</v>
      </c>
      <c r="M46" s="401">
        <f>'t10'!AU44</f>
        <v>0</v>
      </c>
      <c r="N46" s="109" t="str">
        <f t="shared" si="4"/>
        <v>OK</v>
      </c>
      <c r="O46" s="400">
        <f>'t1'!M44</f>
        <v>0</v>
      </c>
      <c r="P46" s="400">
        <f>'t3'!N44</f>
        <v>0</v>
      </c>
      <c r="Q46" s="401">
        <f>'t3'!P44</f>
        <v>0</v>
      </c>
      <c r="R46" s="401">
        <f>'t3'!R44</f>
        <v>0</v>
      </c>
      <c r="S46" s="401">
        <f>'t3'!D44</f>
        <v>0</v>
      </c>
      <c r="T46" s="401">
        <f>'t3'!F44</f>
        <v>0</v>
      </c>
      <c r="U46" s="401">
        <f>'t3'!H44</f>
        <v>0</v>
      </c>
      <c r="V46" s="401">
        <f>'t3'!J44</f>
        <v>0</v>
      </c>
      <c r="W46" s="401">
        <f>'t3'!L44</f>
        <v>0</v>
      </c>
      <c r="X46" s="401">
        <f t="shared" si="0"/>
        <v>0</v>
      </c>
      <c r="Y46" s="401">
        <f>'t10'!AV44</f>
        <v>0</v>
      </c>
      <c r="Z46" s="210" t="str">
        <f t="shared" si="5"/>
        <v>OK</v>
      </c>
    </row>
    <row r="47" spans="1:26" ht="13.5" customHeight="1">
      <c r="A47" s="147" t="str">
        <f>'t1'!A45</f>
        <v>POSIZIONE ECONOMICA A2</v>
      </c>
      <c r="B47" s="205" t="str">
        <f>'t1'!B45</f>
        <v>025000</v>
      </c>
      <c r="C47" s="400">
        <f>'t1'!L45</f>
        <v>0</v>
      </c>
      <c r="D47" s="400">
        <f>'t3'!M45</f>
        <v>0</v>
      </c>
      <c r="E47" s="401">
        <f>'t3'!O45</f>
        <v>0</v>
      </c>
      <c r="F47" s="401">
        <f>'t3'!Q45</f>
        <v>0</v>
      </c>
      <c r="G47" s="401">
        <f>'t3'!C45</f>
        <v>0</v>
      </c>
      <c r="H47" s="401">
        <f>'t3'!E45</f>
        <v>0</v>
      </c>
      <c r="I47" s="401">
        <f>'t3'!G45</f>
        <v>0</v>
      </c>
      <c r="J47" s="401">
        <f>'t3'!I45</f>
        <v>0</v>
      </c>
      <c r="K47" s="401">
        <f>'t3'!K45</f>
        <v>0</v>
      </c>
      <c r="L47" s="401">
        <f t="shared" si="1"/>
        <v>0</v>
      </c>
      <c r="M47" s="401">
        <f>'t10'!AU45</f>
        <v>0</v>
      </c>
      <c r="N47" s="109" t="str">
        <f t="shared" si="4"/>
        <v>OK</v>
      </c>
      <c r="O47" s="400">
        <f>'t1'!M45</f>
        <v>0</v>
      </c>
      <c r="P47" s="400">
        <f>'t3'!N45</f>
        <v>0</v>
      </c>
      <c r="Q47" s="401">
        <f>'t3'!P45</f>
        <v>0</v>
      </c>
      <c r="R47" s="401">
        <f>'t3'!R45</f>
        <v>0</v>
      </c>
      <c r="S47" s="401">
        <f>'t3'!D45</f>
        <v>0</v>
      </c>
      <c r="T47" s="401">
        <f>'t3'!F45</f>
        <v>0</v>
      </c>
      <c r="U47" s="401">
        <f>'t3'!H45</f>
        <v>0</v>
      </c>
      <c r="V47" s="401">
        <f>'t3'!J45</f>
        <v>0</v>
      </c>
      <c r="W47" s="401">
        <f>'t3'!L45</f>
        <v>0</v>
      </c>
      <c r="X47" s="401">
        <f t="shared" si="0"/>
        <v>0</v>
      </c>
      <c r="Y47" s="401">
        <f>'t10'!AV45</f>
        <v>0</v>
      </c>
      <c r="Z47" s="210" t="str">
        <f t="shared" si="5"/>
        <v>OK</v>
      </c>
    </row>
    <row r="48" spans="1:26" ht="13.5" customHeight="1">
      <c r="A48" s="147" t="str">
        <f>'t1'!A46</f>
        <v>POSIZIONE ECONOMICA DI ACCESSO A1</v>
      </c>
      <c r="B48" s="205" t="str">
        <f>'t1'!B46</f>
        <v>053000</v>
      </c>
      <c r="C48" s="400">
        <f>'t1'!L46</f>
        <v>1</v>
      </c>
      <c r="D48" s="400">
        <f>'t3'!M46</f>
        <v>0</v>
      </c>
      <c r="E48" s="401">
        <f>'t3'!O46</f>
        <v>0</v>
      </c>
      <c r="F48" s="401">
        <f>'t3'!Q46</f>
        <v>0</v>
      </c>
      <c r="G48" s="401">
        <f>'t3'!C46</f>
        <v>0</v>
      </c>
      <c r="H48" s="401">
        <f>'t3'!E46</f>
        <v>0</v>
      </c>
      <c r="I48" s="401">
        <f>'t3'!G46</f>
        <v>0</v>
      </c>
      <c r="J48" s="401">
        <f>'t3'!I46</f>
        <v>0</v>
      </c>
      <c r="K48" s="401">
        <f>'t3'!K46</f>
        <v>0</v>
      </c>
      <c r="L48" s="401">
        <f t="shared" si="1"/>
        <v>1</v>
      </c>
      <c r="M48" s="401">
        <f>'t10'!AU46</f>
        <v>0</v>
      </c>
      <c r="N48" s="109" t="str">
        <f t="shared" si="4"/>
        <v>ERRORE</v>
      </c>
      <c r="O48" s="400">
        <f>'t1'!M46</f>
        <v>0</v>
      </c>
      <c r="P48" s="400">
        <f>'t3'!N46</f>
        <v>0</v>
      </c>
      <c r="Q48" s="401">
        <f>'t3'!P46</f>
        <v>0</v>
      </c>
      <c r="R48" s="401">
        <f>'t3'!R46</f>
        <v>0</v>
      </c>
      <c r="S48" s="401">
        <f>'t3'!D46</f>
        <v>0</v>
      </c>
      <c r="T48" s="401">
        <f>'t3'!F46</f>
        <v>0</v>
      </c>
      <c r="U48" s="401">
        <f>'t3'!H46</f>
        <v>0</v>
      </c>
      <c r="V48" s="401">
        <f>'t3'!J46</f>
        <v>0</v>
      </c>
      <c r="W48" s="401">
        <f>'t3'!L46</f>
        <v>0</v>
      </c>
      <c r="X48" s="401">
        <f t="shared" si="0"/>
        <v>0</v>
      </c>
      <c r="Y48" s="401">
        <f>'t10'!AV46</f>
        <v>0</v>
      </c>
      <c r="Z48" s="210" t="str">
        <f t="shared" si="5"/>
        <v>OK</v>
      </c>
    </row>
    <row r="49" spans="1:26" ht="13.5" customHeight="1">
      <c r="A49" s="147" t="str">
        <f>'t1'!A47</f>
        <v>CONTRATTISTI (a)</v>
      </c>
      <c r="B49" s="205" t="str">
        <f>'t1'!B47</f>
        <v>000061</v>
      </c>
      <c r="C49" s="400">
        <f>'t1'!L47</f>
        <v>2</v>
      </c>
      <c r="D49" s="400">
        <f>'t3'!M47</f>
        <v>0</v>
      </c>
      <c r="E49" s="401">
        <f>'t3'!O47</f>
        <v>0</v>
      </c>
      <c r="F49" s="401">
        <f>'t3'!Q47</f>
        <v>0</v>
      </c>
      <c r="G49" s="401">
        <f>'t3'!C47</f>
        <v>0</v>
      </c>
      <c r="H49" s="401">
        <f>'t3'!E47</f>
        <v>0</v>
      </c>
      <c r="I49" s="401">
        <f>'t3'!G47</f>
        <v>0</v>
      </c>
      <c r="J49" s="401">
        <f>'t3'!I47</f>
        <v>0</v>
      </c>
      <c r="K49" s="401">
        <f>'t3'!K47</f>
        <v>0</v>
      </c>
      <c r="L49" s="401">
        <f t="shared" si="1"/>
        <v>2</v>
      </c>
      <c r="M49" s="401">
        <f>'t10'!AU47</f>
        <v>0</v>
      </c>
      <c r="N49" s="109" t="str">
        <f t="shared" si="4"/>
        <v>ERRORE</v>
      </c>
      <c r="O49" s="400">
        <f>'t1'!M47</f>
        <v>0</v>
      </c>
      <c r="P49" s="400">
        <f>'t3'!N47</f>
        <v>0</v>
      </c>
      <c r="Q49" s="401">
        <f>'t3'!P47</f>
        <v>0</v>
      </c>
      <c r="R49" s="401">
        <f>'t3'!R47</f>
        <v>0</v>
      </c>
      <c r="S49" s="401">
        <f>'t3'!D47</f>
        <v>0</v>
      </c>
      <c r="T49" s="401">
        <f>'t3'!F47</f>
        <v>0</v>
      </c>
      <c r="U49" s="401">
        <f>'t3'!H47</f>
        <v>0</v>
      </c>
      <c r="V49" s="401">
        <f>'t3'!J47</f>
        <v>0</v>
      </c>
      <c r="W49" s="401">
        <f>'t3'!L47</f>
        <v>0</v>
      </c>
      <c r="X49" s="401">
        <f t="shared" si="0"/>
        <v>0</v>
      </c>
      <c r="Y49" s="401">
        <f>'t10'!AV47</f>
        <v>0</v>
      </c>
      <c r="Z49" s="210" t="str">
        <f t="shared" si="5"/>
        <v>OK</v>
      </c>
    </row>
    <row r="50" spans="1:26" ht="13.5" customHeight="1">
      <c r="A50" s="147" t="str">
        <f>'t1'!A48</f>
        <v>COLLABORATORE A TEMPO DETERMIN. (b)</v>
      </c>
      <c r="B50" s="205" t="str">
        <f>'t1'!B48</f>
        <v>000096</v>
      </c>
      <c r="C50" s="400">
        <f>'t1'!L48</f>
        <v>0</v>
      </c>
      <c r="D50" s="400">
        <f>'t3'!M48</f>
        <v>0</v>
      </c>
      <c r="E50" s="401">
        <f>'t3'!O48</f>
        <v>0</v>
      </c>
      <c r="F50" s="401">
        <f>'t3'!Q48</f>
        <v>0</v>
      </c>
      <c r="G50" s="401">
        <f>'t3'!C48</f>
        <v>0</v>
      </c>
      <c r="H50" s="401">
        <f>'t3'!E48</f>
        <v>0</v>
      </c>
      <c r="I50" s="401">
        <f>'t3'!G48</f>
        <v>0</v>
      </c>
      <c r="J50" s="401">
        <f>'t3'!I48</f>
        <v>0</v>
      </c>
      <c r="K50" s="401">
        <f>'t3'!K48</f>
        <v>0</v>
      </c>
      <c r="L50" s="401">
        <f t="shared" si="1"/>
        <v>0</v>
      </c>
      <c r="M50" s="401">
        <f>'t10'!AU48</f>
        <v>0</v>
      </c>
      <c r="N50" s="109" t="str">
        <f t="shared" si="4"/>
        <v>OK</v>
      </c>
      <c r="O50" s="400">
        <f>'t1'!M48</f>
        <v>0</v>
      </c>
      <c r="P50" s="400">
        <f>'t3'!N48</f>
        <v>0</v>
      </c>
      <c r="Q50" s="401">
        <f>'t3'!P48</f>
        <v>0</v>
      </c>
      <c r="R50" s="401">
        <f>'t3'!R48</f>
        <v>0</v>
      </c>
      <c r="S50" s="401">
        <f>'t3'!D48</f>
        <v>0</v>
      </c>
      <c r="T50" s="401">
        <f>'t3'!F48</f>
        <v>0</v>
      </c>
      <c r="U50" s="401">
        <f>'t3'!H48</f>
        <v>0</v>
      </c>
      <c r="V50" s="401">
        <f>'t3'!J48</f>
        <v>0</v>
      </c>
      <c r="W50" s="401">
        <f>'t3'!L48</f>
        <v>0</v>
      </c>
      <c r="X50" s="401">
        <f>O50+P50+Q50+R50-S50-T50-U50-V50-W50</f>
        <v>0</v>
      </c>
      <c r="Y50" s="401">
        <f>'t10'!AV48</f>
        <v>0</v>
      </c>
      <c r="Z50" s="210" t="str">
        <f t="shared" si="5"/>
        <v>OK</v>
      </c>
    </row>
    <row r="51" spans="1:26" ht="15.75" customHeight="1">
      <c r="A51" s="147" t="str">
        <f>'t1'!A49</f>
        <v>TOTALE</v>
      </c>
      <c r="B51" s="193"/>
      <c r="C51" s="400">
        <f aca="true" t="shared" si="6" ref="C51:M51">SUM(C8:C50)</f>
        <v>200</v>
      </c>
      <c r="D51" s="400">
        <f t="shared" si="6"/>
        <v>0</v>
      </c>
      <c r="E51" s="400">
        <f t="shared" si="6"/>
        <v>0</v>
      </c>
      <c r="F51" s="400">
        <f t="shared" si="6"/>
        <v>0</v>
      </c>
      <c r="G51" s="400">
        <f t="shared" si="6"/>
        <v>0</v>
      </c>
      <c r="H51" s="400">
        <f t="shared" si="6"/>
        <v>0</v>
      </c>
      <c r="I51" s="400">
        <f t="shared" si="6"/>
        <v>0</v>
      </c>
      <c r="J51" s="400">
        <f t="shared" si="6"/>
        <v>0</v>
      </c>
      <c r="K51" s="400">
        <f t="shared" si="6"/>
        <v>0</v>
      </c>
      <c r="L51" s="400">
        <f>SUM(L8:L50)</f>
        <v>200</v>
      </c>
      <c r="M51" s="400">
        <f t="shared" si="6"/>
        <v>0</v>
      </c>
      <c r="N51" s="109" t="str">
        <f t="shared" si="4"/>
        <v>ERRORE</v>
      </c>
      <c r="O51" s="400">
        <f aca="true" t="shared" si="7" ref="O51:Y51">SUM(O8:O50)</f>
        <v>69</v>
      </c>
      <c r="P51" s="400">
        <f t="shared" si="7"/>
        <v>0</v>
      </c>
      <c r="Q51" s="400">
        <f t="shared" si="7"/>
        <v>0</v>
      </c>
      <c r="R51" s="400">
        <f t="shared" si="7"/>
        <v>0</v>
      </c>
      <c r="S51" s="400">
        <f t="shared" si="7"/>
        <v>0</v>
      </c>
      <c r="T51" s="400">
        <f t="shared" si="7"/>
        <v>0</v>
      </c>
      <c r="U51" s="400">
        <f t="shared" si="7"/>
        <v>0</v>
      </c>
      <c r="V51" s="400">
        <f t="shared" si="7"/>
        <v>0</v>
      </c>
      <c r="W51" s="400">
        <f t="shared" si="7"/>
        <v>0</v>
      </c>
      <c r="X51" s="400">
        <f t="shared" si="7"/>
        <v>69</v>
      </c>
      <c r="Y51" s="400">
        <f t="shared" si="7"/>
        <v>0</v>
      </c>
      <c r="Z51" s="210" t="str">
        <f t="shared" si="5"/>
        <v>ERRORE</v>
      </c>
    </row>
  </sheetData>
  <sheetProtection password="EA98" sheet="1" formatColumns="0" selectLockedCells="1" selectUnlockedCells="1"/>
  <mergeCells count="4">
    <mergeCell ref="O5:Z5"/>
    <mergeCell ref="C5:N5"/>
    <mergeCell ref="A1:X1"/>
    <mergeCell ref="A2:M2"/>
  </mergeCells>
  <printOptions horizontalCentered="1" verticalCentered="1"/>
  <pageMargins left="0.2" right="0" top="0.17" bottom="0.16" header="0.18" footer="0.2"/>
  <pageSetup fitToHeight="1" fitToWidth="1" horizontalDpi="300" verticalDpi="300" orientation="landscape" paperSize="9" scale="52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25">
    <pageSetUpPr fitToPage="1"/>
  </sheetPr>
  <dimension ref="A1:M49"/>
  <sheetViews>
    <sheetView showGridLines="0" zoomScalePageLayoutView="0" workbookViewId="0" topLeftCell="A1">
      <pane ySplit="5" topLeftCell="A33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8.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373"/>
      <c r="I1" s="370"/>
      <c r="K1" s="3"/>
      <c r="M1"/>
    </row>
    <row r="2" spans="2:13" ht="21" customHeight="1">
      <c r="B2" s="5"/>
      <c r="C2" s="5"/>
      <c r="D2" s="1496"/>
      <c r="E2" s="1496"/>
      <c r="F2" s="1496"/>
      <c r="G2" s="1496"/>
      <c r="H2" s="1496"/>
      <c r="I2" s="1496"/>
      <c r="J2" s="374"/>
      <c r="K2" s="3"/>
      <c r="M2"/>
    </row>
    <row r="3" spans="1:9" ht="21" customHeight="1">
      <c r="A3" s="215" t="s">
        <v>280</v>
      </c>
      <c r="C3" s="5"/>
      <c r="D3" s="5"/>
      <c r="E3" s="5"/>
      <c r="F3" s="5"/>
      <c r="G3" s="5"/>
      <c r="H3" s="5"/>
      <c r="I3" s="5"/>
    </row>
    <row r="4" spans="1:9" ht="49.5" customHeight="1">
      <c r="A4" s="202" t="s">
        <v>213</v>
      </c>
      <c r="B4" s="202" t="s">
        <v>212</v>
      </c>
      <c r="C4" s="202" t="str">
        <f>"Presenti 31.12 anno precedente (Tab 1)"</f>
        <v>Presenti 31.12 anno precedente (Tab 1)</v>
      </c>
      <c r="D4" s="202" t="s">
        <v>234</v>
      </c>
      <c r="E4" s="202" t="s">
        <v>235</v>
      </c>
      <c r="F4" s="202" t="s">
        <v>236</v>
      </c>
      <c r="G4" s="202" t="s">
        <v>247</v>
      </c>
      <c r="H4" s="202" t="s">
        <v>237</v>
      </c>
      <c r="I4" s="202" t="s">
        <v>204</v>
      </c>
    </row>
    <row r="5" spans="1:9" ht="11.25">
      <c r="A5" s="376"/>
      <c r="B5" s="202"/>
      <c r="C5" s="213" t="s">
        <v>214</v>
      </c>
      <c r="D5" s="213" t="s">
        <v>215</v>
      </c>
      <c r="E5" s="213" t="s">
        <v>216</v>
      </c>
      <c r="F5" s="213" t="s">
        <v>217</v>
      </c>
      <c r="G5" s="213" t="s">
        <v>246</v>
      </c>
      <c r="H5" s="213" t="s">
        <v>238</v>
      </c>
      <c r="I5" s="213" t="s">
        <v>239</v>
      </c>
    </row>
    <row r="6" spans="1:9" ht="13.5" customHeight="1">
      <c r="A6" s="168" t="str">
        <f>'t1'!A6</f>
        <v>SEGRETARIO A</v>
      </c>
      <c r="B6" s="205" t="str">
        <f>'t1'!B6</f>
        <v>0D0102</v>
      </c>
      <c r="C6" s="400">
        <f>'t1'!C6+'t1'!D6</f>
        <v>1</v>
      </c>
      <c r="D6" s="400">
        <f>'t5'!Q7+'t5'!R7</f>
        <v>0</v>
      </c>
      <c r="E6" s="401">
        <f>'t6'!S7+'t6'!T7</f>
        <v>0</v>
      </c>
      <c r="F6" s="401">
        <f>'t4'!C49</f>
        <v>1</v>
      </c>
      <c r="G6" s="401">
        <f>C6-D6+E6+F6</f>
        <v>2</v>
      </c>
      <c r="H6" s="401">
        <f>'t4'!AT6</f>
        <v>0</v>
      </c>
      <c r="I6" s="195" t="str">
        <f>IF(H6&lt;=G6,"OK","ERRORE")</f>
        <v>OK</v>
      </c>
    </row>
    <row r="7" spans="1:9" ht="13.5" customHeight="1">
      <c r="A7" s="168" t="str">
        <f>'t1'!A7</f>
        <v>SEGRETARIO B</v>
      </c>
      <c r="B7" s="205" t="str">
        <f>'t1'!B7</f>
        <v>0D0103</v>
      </c>
      <c r="C7" s="400">
        <f>'t1'!C7+'t1'!D7</f>
        <v>0</v>
      </c>
      <c r="D7" s="400">
        <f>'t5'!Q8+'t5'!R8</f>
        <v>0</v>
      </c>
      <c r="E7" s="401">
        <f>'t6'!S8+'t6'!T8</f>
        <v>0</v>
      </c>
      <c r="F7" s="401">
        <f>'t4'!D49</f>
        <v>0</v>
      </c>
      <c r="G7" s="401">
        <f>C7-D7+E7+F7</f>
        <v>0</v>
      </c>
      <c r="H7" s="401">
        <f>'t4'!AT7</f>
        <v>0</v>
      </c>
      <c r="I7" s="195" t="str">
        <f aca="true" t="shared" si="0" ref="I7:I40">IF(H7&lt;=G7,"OK","ERRORE")</f>
        <v>OK</v>
      </c>
    </row>
    <row r="8" spans="1:9" ht="13.5" customHeight="1">
      <c r="A8" s="168" t="str">
        <f>'t1'!A8</f>
        <v>SEGRETARIO C</v>
      </c>
      <c r="B8" s="205" t="str">
        <f>'t1'!B8</f>
        <v>0D0485</v>
      </c>
      <c r="C8" s="400">
        <f>'t1'!C8+'t1'!D8</f>
        <v>0</v>
      </c>
      <c r="D8" s="400">
        <f>'t5'!Q9+'t5'!R9</f>
        <v>0</v>
      </c>
      <c r="E8" s="401">
        <f>'t6'!S9+'t6'!T9</f>
        <v>0</v>
      </c>
      <c r="F8" s="401">
        <f>'t4'!E49</f>
        <v>0</v>
      </c>
      <c r="G8" s="401">
        <f aca="true" t="shared" si="1" ref="G8:G48">C8-D8+E8+F8</f>
        <v>0</v>
      </c>
      <c r="H8" s="401">
        <f>'t4'!AT8</f>
        <v>0</v>
      </c>
      <c r="I8" s="195" t="str">
        <f t="shared" si="0"/>
        <v>OK</v>
      </c>
    </row>
    <row r="9" spans="1:9" ht="13.5" customHeight="1">
      <c r="A9" s="168" t="str">
        <f>'t1'!A9</f>
        <v>SEGRETARIO GENERALE CCIAA</v>
      </c>
      <c r="B9" s="205" t="str">
        <f>'t1'!B9</f>
        <v>0D0104</v>
      </c>
      <c r="C9" s="400">
        <f>'t1'!C9+'t1'!D9</f>
        <v>0</v>
      </c>
      <c r="D9" s="400">
        <f>'t5'!Q10+'t5'!R10</f>
        <v>0</v>
      </c>
      <c r="E9" s="401">
        <f>'t6'!S10+'t6'!T10</f>
        <v>0</v>
      </c>
      <c r="F9" s="401">
        <f>'t4'!F49</f>
        <v>0</v>
      </c>
      <c r="G9" s="401">
        <f t="shared" si="1"/>
        <v>0</v>
      </c>
      <c r="H9" s="401">
        <f>'t4'!AT9</f>
        <v>0</v>
      </c>
      <c r="I9" s="195" t="str">
        <f t="shared" si="0"/>
        <v>OK</v>
      </c>
    </row>
    <row r="10" spans="1:9" ht="13.5" customHeight="1">
      <c r="A10" s="168" t="str">
        <f>'t1'!A10</f>
        <v>DIRETTORE  GENERALE</v>
      </c>
      <c r="B10" s="205" t="str">
        <f>'t1'!B10</f>
        <v>0D0097</v>
      </c>
      <c r="C10" s="400">
        <f>'t1'!C10+'t1'!D10</f>
        <v>0</v>
      </c>
      <c r="D10" s="400">
        <f>'t5'!Q11+'t5'!R11</f>
        <v>0</v>
      </c>
      <c r="E10" s="401">
        <f>'t6'!S11+'t6'!T11</f>
        <v>0</v>
      </c>
      <c r="F10" s="401">
        <f>'t4'!G49</f>
        <v>0</v>
      </c>
      <c r="G10" s="401">
        <f t="shared" si="1"/>
        <v>0</v>
      </c>
      <c r="H10" s="401">
        <f>'t4'!AT10</f>
        <v>0</v>
      </c>
      <c r="I10" s="195" t="str">
        <f t="shared" si="0"/>
        <v>OK</v>
      </c>
    </row>
    <row r="11" spans="1:9" ht="13.5" customHeight="1">
      <c r="A11" s="168" t="str">
        <f>'t1'!A11</f>
        <v>DIRIGENTE FUORI D.O.</v>
      </c>
      <c r="B11" s="205" t="str">
        <f>'t1'!B11</f>
        <v>0D0098</v>
      </c>
      <c r="C11" s="400">
        <f>'t1'!C11+'t1'!D11</f>
        <v>0</v>
      </c>
      <c r="D11" s="400">
        <f>'t5'!Q12+'t5'!R12</f>
        <v>0</v>
      </c>
      <c r="E11" s="401">
        <f>'t6'!S12+'t6'!T12</f>
        <v>0</v>
      </c>
      <c r="F11" s="401">
        <f>'t4'!H49</f>
        <v>0</v>
      </c>
      <c r="G11" s="401">
        <f t="shared" si="1"/>
        <v>0</v>
      </c>
      <c r="H11" s="401">
        <f>'t4'!AT11</f>
        <v>0</v>
      </c>
      <c r="I11" s="195" t="str">
        <f t="shared" si="0"/>
        <v>OK</v>
      </c>
    </row>
    <row r="12" spans="1:9" ht="13.5" customHeight="1">
      <c r="A12" s="168" t="str">
        <f>'t1'!A12</f>
        <v>ALTE SPECIALIZZ. FUORI D.O.</v>
      </c>
      <c r="B12" s="205" t="str">
        <f>'t1'!B12</f>
        <v>0D0095</v>
      </c>
      <c r="C12" s="400">
        <f>'t1'!C12+'t1'!D12</f>
        <v>0</v>
      </c>
      <c r="D12" s="400">
        <f>'t5'!Q13+'t5'!R13</f>
        <v>0</v>
      </c>
      <c r="E12" s="401">
        <f>'t6'!S13+'t6'!T13</f>
        <v>0</v>
      </c>
      <c r="F12" s="401">
        <f>'t4'!I49</f>
        <v>0</v>
      </c>
      <c r="G12" s="401">
        <f t="shared" si="1"/>
        <v>0</v>
      </c>
      <c r="H12" s="401">
        <f>'t4'!AT12</f>
        <v>0</v>
      </c>
      <c r="I12" s="195" t="str">
        <f t="shared" si="0"/>
        <v>OK</v>
      </c>
    </row>
    <row r="13" spans="1:9" ht="13.5" customHeight="1">
      <c r="A13" s="168" t="str">
        <f>'t1'!A13</f>
        <v>QUALIFICA DIRIGENZIALE TEMPO INDET.</v>
      </c>
      <c r="B13" s="205" t="str">
        <f>'t1'!B13</f>
        <v>0D0100</v>
      </c>
      <c r="C13" s="400">
        <f>'t1'!C13+'t1'!D13</f>
        <v>2</v>
      </c>
      <c r="D13" s="400">
        <f>'t5'!Q14+'t5'!R14</f>
        <v>1</v>
      </c>
      <c r="E13" s="401">
        <f>'t6'!S14+'t6'!T14</f>
        <v>0</v>
      </c>
      <c r="F13" s="401">
        <f>'t4'!J49</f>
        <v>0</v>
      </c>
      <c r="G13" s="401">
        <f t="shared" si="1"/>
        <v>1</v>
      </c>
      <c r="H13" s="401">
        <f>'t4'!AT13</f>
        <v>0</v>
      </c>
      <c r="I13" s="195" t="str">
        <f t="shared" si="0"/>
        <v>OK</v>
      </c>
    </row>
    <row r="14" spans="1:9" ht="13.5" customHeight="1">
      <c r="A14" s="168" t="str">
        <f>'t1'!A14</f>
        <v>QUALIFICA DIRIGENZIALE TEMPO DETER.</v>
      </c>
      <c r="B14" s="205" t="str">
        <f>'t1'!B14</f>
        <v>0D0099</v>
      </c>
      <c r="C14" s="400">
        <f>'t1'!C14+'t1'!D14</f>
        <v>0</v>
      </c>
      <c r="D14" s="400">
        <f>'t5'!Q15+'t5'!R15</f>
        <v>0</v>
      </c>
      <c r="E14" s="401">
        <f>'t6'!S15+'t6'!T15</f>
        <v>10</v>
      </c>
      <c r="F14" s="401">
        <f>'t4'!K49</f>
        <v>0</v>
      </c>
      <c r="G14" s="401">
        <f t="shared" si="1"/>
        <v>10</v>
      </c>
      <c r="H14" s="401">
        <f>'t4'!AT14</f>
        <v>0</v>
      </c>
      <c r="I14" s="195" t="str">
        <f t="shared" si="0"/>
        <v>OK</v>
      </c>
    </row>
    <row r="15" spans="1:9" ht="13.5" customHeight="1">
      <c r="A15" s="168" t="str">
        <f>'t1'!A15</f>
        <v>POSIZ. ECON. D6 - PROFILI ACCESSO D3</v>
      </c>
      <c r="B15" s="205" t="str">
        <f>'t1'!B15</f>
        <v>0D6A00</v>
      </c>
      <c r="C15" s="400">
        <f>'t1'!C15+'t1'!D15</f>
        <v>9</v>
      </c>
      <c r="D15" s="400">
        <f>'t5'!Q16+'t5'!R16</f>
        <v>1</v>
      </c>
      <c r="E15" s="401">
        <f>'t6'!S16+'t6'!T16</f>
        <v>0</v>
      </c>
      <c r="F15" s="401">
        <f>'t4'!L49</f>
        <v>0</v>
      </c>
      <c r="G15" s="401">
        <f t="shared" si="1"/>
        <v>8</v>
      </c>
      <c r="H15" s="401">
        <f>'t4'!AT15</f>
        <v>0</v>
      </c>
      <c r="I15" s="195" t="str">
        <f t="shared" si="0"/>
        <v>OK</v>
      </c>
    </row>
    <row r="16" spans="1:9" ht="13.5" customHeight="1">
      <c r="A16" s="168" t="str">
        <f>'t1'!A16</f>
        <v>POSIZ. ECON. D6 - PROFILO ACCESSO D1</v>
      </c>
      <c r="B16" s="205" t="str">
        <f>'t1'!B16</f>
        <v>0D6000</v>
      </c>
      <c r="C16" s="400">
        <f>'t1'!C16+'t1'!D16</f>
        <v>0</v>
      </c>
      <c r="D16" s="400">
        <f>'t5'!Q17+'t5'!R17</f>
        <v>0</v>
      </c>
      <c r="E16" s="401">
        <f>'t6'!S17+'t6'!T17</f>
        <v>0</v>
      </c>
      <c r="F16" s="401">
        <f>'t4'!M49</f>
        <v>0</v>
      </c>
      <c r="G16" s="401">
        <f t="shared" si="1"/>
        <v>0</v>
      </c>
      <c r="H16" s="401">
        <f>'t4'!AT16</f>
        <v>0</v>
      </c>
      <c r="I16" s="195" t="str">
        <f t="shared" si="0"/>
        <v>OK</v>
      </c>
    </row>
    <row r="17" spans="1:9" ht="13.5" customHeight="1">
      <c r="A17" s="168" t="str">
        <f>'t1'!A17</f>
        <v>POSIZ.ECON. D5 PROFILI ACCESSO D3</v>
      </c>
      <c r="B17" s="205" t="str">
        <f>'t1'!B17</f>
        <v>052486</v>
      </c>
      <c r="C17" s="400">
        <f>'t1'!C17+'t1'!D17</f>
        <v>13</v>
      </c>
      <c r="D17" s="400">
        <f>'t5'!Q18+'t5'!R18</f>
        <v>5</v>
      </c>
      <c r="E17" s="401">
        <f>'t6'!S18+'t6'!T18</f>
        <v>0</v>
      </c>
      <c r="F17" s="401">
        <f>'t4'!N49</f>
        <v>0</v>
      </c>
      <c r="G17" s="401">
        <f t="shared" si="1"/>
        <v>8</v>
      </c>
      <c r="H17" s="401">
        <f>'t4'!AT17</f>
        <v>0</v>
      </c>
      <c r="I17" s="195" t="str">
        <f t="shared" si="0"/>
        <v>OK</v>
      </c>
    </row>
    <row r="18" spans="1:9" ht="13.5" customHeight="1">
      <c r="A18" s="168" t="str">
        <f>'t1'!A18</f>
        <v>POSIZ.ECON. D5 PROFILI ACCESSO D1</v>
      </c>
      <c r="B18" s="205" t="str">
        <f>'t1'!B18</f>
        <v>052487</v>
      </c>
      <c r="C18" s="400">
        <f>'t1'!C18+'t1'!D18</f>
        <v>1</v>
      </c>
      <c r="D18" s="400">
        <f>'t5'!Q19+'t5'!R19</f>
        <v>0</v>
      </c>
      <c r="E18" s="401">
        <f>'t6'!S19+'t6'!T19</f>
        <v>0</v>
      </c>
      <c r="F18" s="401">
        <f>'t4'!O49</f>
        <v>0</v>
      </c>
      <c r="G18" s="401">
        <f t="shared" si="1"/>
        <v>1</v>
      </c>
      <c r="H18" s="401">
        <f>'t4'!AT18</f>
        <v>0</v>
      </c>
      <c r="I18" s="195" t="str">
        <f t="shared" si="0"/>
        <v>OK</v>
      </c>
    </row>
    <row r="19" spans="1:9" ht="13.5" customHeight="1">
      <c r="A19" s="168" t="str">
        <f>'t1'!A19</f>
        <v>POSIZ.ECON. D4 PROFILI ACCESSO D3</v>
      </c>
      <c r="B19" s="205" t="str">
        <f>'t1'!B19</f>
        <v>051488</v>
      </c>
      <c r="C19" s="400">
        <f>'t1'!C19+'t1'!D19</f>
        <v>17</v>
      </c>
      <c r="D19" s="400">
        <f>'t5'!Q20+'t5'!R20</f>
        <v>3</v>
      </c>
      <c r="E19" s="401">
        <f>'t6'!S20+'t6'!T20</f>
        <v>0</v>
      </c>
      <c r="F19" s="401">
        <f>'t4'!P49</f>
        <v>0</v>
      </c>
      <c r="G19" s="401">
        <f t="shared" si="1"/>
        <v>14</v>
      </c>
      <c r="H19" s="401">
        <f>'t4'!AT19</f>
        <v>0</v>
      </c>
      <c r="I19" s="195" t="str">
        <f t="shared" si="0"/>
        <v>OK</v>
      </c>
    </row>
    <row r="20" spans="1:9" ht="13.5" customHeight="1">
      <c r="A20" s="168" t="str">
        <f>'t1'!A20</f>
        <v>POSIZ.ECON. D4 PROFILI ACCESSO D1</v>
      </c>
      <c r="B20" s="205" t="str">
        <f>'t1'!B20</f>
        <v>051489</v>
      </c>
      <c r="C20" s="400">
        <f>'t1'!C20+'t1'!D20</f>
        <v>3</v>
      </c>
      <c r="D20" s="400">
        <f>'t5'!Q21+'t5'!R21</f>
        <v>0</v>
      </c>
      <c r="E20" s="401">
        <f>'t6'!S21+'t6'!T21</f>
        <v>0</v>
      </c>
      <c r="F20" s="401">
        <f>'t4'!Q49</f>
        <v>0</v>
      </c>
      <c r="G20" s="401">
        <f t="shared" si="1"/>
        <v>3</v>
      </c>
      <c r="H20" s="401">
        <f>'t4'!AT20</f>
        <v>0</v>
      </c>
      <c r="I20" s="195" t="str">
        <f t="shared" si="0"/>
        <v>OK</v>
      </c>
    </row>
    <row r="21" spans="1:9" ht="13.5" customHeight="1">
      <c r="A21" s="168" t="str">
        <f>'t1'!A21</f>
        <v>POSIZIONE ECONOMICA DI ACCESSO D3</v>
      </c>
      <c r="B21" s="205" t="str">
        <f>'t1'!B21</f>
        <v>058000</v>
      </c>
      <c r="C21" s="400">
        <f>'t1'!C21+'t1'!D21</f>
        <v>3</v>
      </c>
      <c r="D21" s="400">
        <f>'t5'!Q22+'t5'!R22</f>
        <v>1</v>
      </c>
      <c r="E21" s="401">
        <f>'t6'!S22+'t6'!T22</f>
        <v>0</v>
      </c>
      <c r="F21" s="401">
        <f>'t4'!R49</f>
        <v>0</v>
      </c>
      <c r="G21" s="401">
        <f t="shared" si="1"/>
        <v>2</v>
      </c>
      <c r="H21" s="401">
        <f>'t4'!AT21</f>
        <v>0</v>
      </c>
      <c r="I21" s="195" t="str">
        <f t="shared" si="0"/>
        <v>OK</v>
      </c>
    </row>
    <row r="22" spans="1:9" ht="13.5" customHeight="1">
      <c r="A22" s="168" t="str">
        <f>'t1'!A22</f>
        <v>POSIZIONE ECONOMICA D3</v>
      </c>
      <c r="B22" s="205" t="str">
        <f>'t1'!B22</f>
        <v>050000</v>
      </c>
      <c r="C22" s="400">
        <f>'t1'!C22+'t1'!D22</f>
        <v>12</v>
      </c>
      <c r="D22" s="400">
        <f>'t5'!Q23+'t5'!R23</f>
        <v>0</v>
      </c>
      <c r="E22" s="401">
        <f>'t6'!S23+'t6'!T23</f>
        <v>0</v>
      </c>
      <c r="F22" s="401">
        <f>'t4'!S49</f>
        <v>0</v>
      </c>
      <c r="G22" s="401">
        <f t="shared" si="1"/>
        <v>12</v>
      </c>
      <c r="H22" s="401">
        <f>'t4'!AT22</f>
        <v>0</v>
      </c>
      <c r="I22" s="195" t="str">
        <f t="shared" si="0"/>
        <v>OK</v>
      </c>
    </row>
    <row r="23" spans="1:9" ht="13.5" customHeight="1">
      <c r="A23" s="168" t="str">
        <f>'t1'!A23</f>
        <v>POSIZIONE ECONOMICA D2</v>
      </c>
      <c r="B23" s="205" t="str">
        <f>'t1'!B23</f>
        <v>049000</v>
      </c>
      <c r="C23" s="400">
        <f>'t1'!C23+'t1'!D23</f>
        <v>40</v>
      </c>
      <c r="D23" s="400">
        <f>'t5'!Q24+'t5'!R24</f>
        <v>0</v>
      </c>
      <c r="E23" s="401">
        <f>'t6'!S24+'t6'!T24</f>
        <v>0</v>
      </c>
      <c r="F23" s="401">
        <f>'t4'!T49</f>
        <v>0</v>
      </c>
      <c r="G23" s="401">
        <f t="shared" si="1"/>
        <v>40</v>
      </c>
      <c r="H23" s="401">
        <f>'t4'!AT23</f>
        <v>0</v>
      </c>
      <c r="I23" s="195" t="str">
        <f t="shared" si="0"/>
        <v>OK</v>
      </c>
    </row>
    <row r="24" spans="1:9" ht="13.5" customHeight="1">
      <c r="A24" s="168" t="str">
        <f>'t1'!A24</f>
        <v>POSIZIONE ECONOMICA DI ACCESSO D1</v>
      </c>
      <c r="B24" s="205" t="str">
        <f>'t1'!B24</f>
        <v>057000</v>
      </c>
      <c r="C24" s="400">
        <f>'t1'!C24+'t1'!D24</f>
        <v>3</v>
      </c>
      <c r="D24" s="400">
        <f>'t5'!Q25+'t5'!R25</f>
        <v>0</v>
      </c>
      <c r="E24" s="401">
        <f>'t6'!S25+'t6'!T25</f>
        <v>0</v>
      </c>
      <c r="F24" s="401">
        <f>'t4'!U49</f>
        <v>0</v>
      </c>
      <c r="G24" s="401">
        <f t="shared" si="1"/>
        <v>3</v>
      </c>
      <c r="H24" s="401">
        <f>'t4'!AT24</f>
        <v>0</v>
      </c>
      <c r="I24" s="195" t="str">
        <f t="shared" si="0"/>
        <v>OK</v>
      </c>
    </row>
    <row r="25" spans="1:9" ht="13.5" customHeight="1">
      <c r="A25" s="168" t="str">
        <f>'t1'!A25</f>
        <v>POSIZIONE ECONOMICA C5</v>
      </c>
      <c r="B25" s="205" t="str">
        <f>'t1'!B25</f>
        <v>046000</v>
      </c>
      <c r="C25" s="400">
        <f>'t1'!C25+'t1'!D25</f>
        <v>5</v>
      </c>
      <c r="D25" s="400">
        <f>'t5'!Q26+'t5'!R26</f>
        <v>1</v>
      </c>
      <c r="E25" s="401">
        <f>'t6'!S26+'t6'!T26</f>
        <v>0</v>
      </c>
      <c r="F25" s="401">
        <f>'t4'!V49</f>
        <v>0</v>
      </c>
      <c r="G25" s="401">
        <f t="shared" si="1"/>
        <v>4</v>
      </c>
      <c r="H25" s="401">
        <f>'t4'!AT25</f>
        <v>0</v>
      </c>
      <c r="I25" s="195" t="str">
        <f t="shared" si="0"/>
        <v>OK</v>
      </c>
    </row>
    <row r="26" spans="1:9" ht="13.5" customHeight="1">
      <c r="A26" s="168" t="str">
        <f>'t1'!A26</f>
        <v>POSIZIONE ECONOMICA C4</v>
      </c>
      <c r="B26" s="205" t="str">
        <f>'t1'!B26</f>
        <v>045000</v>
      </c>
      <c r="C26" s="400">
        <f>'t1'!C26+'t1'!D26</f>
        <v>20</v>
      </c>
      <c r="D26" s="400">
        <f>'t5'!Q27+'t5'!R27</f>
        <v>0</v>
      </c>
      <c r="E26" s="401">
        <f>'t6'!S27+'t6'!T27</f>
        <v>0</v>
      </c>
      <c r="F26" s="401">
        <f>'t4'!W49</f>
        <v>0</v>
      </c>
      <c r="G26" s="401">
        <f t="shared" si="1"/>
        <v>20</v>
      </c>
      <c r="H26" s="401">
        <f>'t4'!AT26</f>
        <v>0</v>
      </c>
      <c r="I26" s="195" t="str">
        <f t="shared" si="0"/>
        <v>OK</v>
      </c>
    </row>
    <row r="27" spans="1:9" ht="13.5" customHeight="1">
      <c r="A27" s="168" t="str">
        <f>'t1'!A27</f>
        <v>POSIZIONE ECONOMICA C3</v>
      </c>
      <c r="B27" s="205" t="str">
        <f>'t1'!B27</f>
        <v>043000</v>
      </c>
      <c r="C27" s="400">
        <f>'t1'!C27+'t1'!D27</f>
        <v>31</v>
      </c>
      <c r="D27" s="400">
        <f>'t5'!Q28+'t5'!R28</f>
        <v>0</v>
      </c>
      <c r="E27" s="401">
        <f>'t6'!S28+'t6'!T28</f>
        <v>0</v>
      </c>
      <c r="F27" s="401">
        <f>'t4'!X49</f>
        <v>0</v>
      </c>
      <c r="G27" s="401">
        <f t="shared" si="1"/>
        <v>31</v>
      </c>
      <c r="H27" s="401">
        <f>'t4'!AT27</f>
        <v>0</v>
      </c>
      <c r="I27" s="195" t="str">
        <f t="shared" si="0"/>
        <v>OK</v>
      </c>
    </row>
    <row r="28" spans="1:9" ht="13.5" customHeight="1">
      <c r="A28" s="168" t="str">
        <f>'t1'!A28</f>
        <v>POSIZIONE ECONOMICA C2</v>
      </c>
      <c r="B28" s="205" t="str">
        <f>'t1'!B28</f>
        <v>042000</v>
      </c>
      <c r="C28" s="400">
        <f>'t1'!C28+'t1'!D28</f>
        <v>39</v>
      </c>
      <c r="D28" s="400">
        <f>'t5'!Q29+'t5'!R29</f>
        <v>0</v>
      </c>
      <c r="E28" s="401">
        <f>'t6'!S29+'t6'!T29</f>
        <v>0</v>
      </c>
      <c r="F28" s="401">
        <f>'t4'!Y49</f>
        <v>0</v>
      </c>
      <c r="G28" s="401">
        <f t="shared" si="1"/>
        <v>39</v>
      </c>
      <c r="H28" s="401">
        <f>'t4'!AT28</f>
        <v>0</v>
      </c>
      <c r="I28" s="195" t="str">
        <f t="shared" si="0"/>
        <v>OK</v>
      </c>
    </row>
    <row r="29" spans="1:9" ht="13.5" customHeight="1">
      <c r="A29" s="168" t="str">
        <f>'t1'!A29</f>
        <v>POSIZIONE ECONOMICA DI ACCESSO C1</v>
      </c>
      <c r="B29" s="205" t="str">
        <f>'t1'!B29</f>
        <v>056000</v>
      </c>
      <c r="C29" s="400">
        <f>'t1'!C29+'t1'!D29</f>
        <v>1</v>
      </c>
      <c r="D29" s="400">
        <f>'t5'!Q30+'t5'!R30</f>
        <v>1</v>
      </c>
      <c r="E29" s="401">
        <f>'t6'!S30+'t6'!T30</f>
        <v>0</v>
      </c>
      <c r="F29" s="401">
        <f>'t4'!Z49</f>
        <v>0</v>
      </c>
      <c r="G29" s="401">
        <f t="shared" si="1"/>
        <v>0</v>
      </c>
      <c r="H29" s="401">
        <f>'t4'!AT29</f>
        <v>0</v>
      </c>
      <c r="I29" s="195" t="str">
        <f t="shared" si="0"/>
        <v>OK</v>
      </c>
    </row>
    <row r="30" spans="1:9" ht="13.5" customHeight="1">
      <c r="A30" s="168" t="str">
        <f>'t1'!A30</f>
        <v>POSIZ. ECON. B7 - PROFILO ACCESSO B3</v>
      </c>
      <c r="B30" s="205" t="str">
        <f>'t1'!B30</f>
        <v>0B7A00</v>
      </c>
      <c r="C30" s="400">
        <f>'t1'!C30+'t1'!D30</f>
        <v>0</v>
      </c>
      <c r="D30" s="400">
        <f>'t5'!Q31+'t5'!R31</f>
        <v>0</v>
      </c>
      <c r="E30" s="401">
        <f>'t6'!S31+'t6'!T31</f>
        <v>0</v>
      </c>
      <c r="F30" s="401">
        <f>'t4'!AA49</f>
        <v>0</v>
      </c>
      <c r="G30" s="401">
        <f t="shared" si="1"/>
        <v>0</v>
      </c>
      <c r="H30" s="401">
        <f>'t4'!AT30</f>
        <v>0</v>
      </c>
      <c r="I30" s="195" t="str">
        <f t="shared" si="0"/>
        <v>OK</v>
      </c>
    </row>
    <row r="31" spans="1:9" ht="13.5" customHeight="1">
      <c r="A31" s="168" t="str">
        <f>'t1'!A31</f>
        <v>POSIZ. ECON. B7 - PROFILO  ACCESSO B1</v>
      </c>
      <c r="B31" s="205" t="str">
        <f>'t1'!B31</f>
        <v>0B7000</v>
      </c>
      <c r="C31" s="400">
        <f>'t1'!C31+'t1'!D31</f>
        <v>0</v>
      </c>
      <c r="D31" s="400">
        <f>'t5'!Q32+'t5'!R32</f>
        <v>0</v>
      </c>
      <c r="E31" s="401">
        <f>'t6'!S32+'t6'!T32</f>
        <v>0</v>
      </c>
      <c r="F31" s="401">
        <f>'t4'!AB49</f>
        <v>0</v>
      </c>
      <c r="G31" s="401">
        <f t="shared" si="1"/>
        <v>0</v>
      </c>
      <c r="H31" s="401">
        <f>'t4'!AT31</f>
        <v>0</v>
      </c>
      <c r="I31" s="195" t="str">
        <f t="shared" si="0"/>
        <v>OK</v>
      </c>
    </row>
    <row r="32" spans="1:9" ht="13.5" customHeight="1">
      <c r="A32" s="168" t="str">
        <f>'t1'!A32</f>
        <v>POSIZ.ECON. B6 PROFILI ACCESSO B3</v>
      </c>
      <c r="B32" s="205" t="str">
        <f>'t1'!B32</f>
        <v>038490</v>
      </c>
      <c r="C32" s="400">
        <f>'t1'!C32+'t1'!D32</f>
        <v>0</v>
      </c>
      <c r="D32" s="400">
        <f>'t5'!Q33+'t5'!R33</f>
        <v>0</v>
      </c>
      <c r="E32" s="401">
        <f>'t6'!S33+'t6'!T33</f>
        <v>0</v>
      </c>
      <c r="F32" s="401">
        <f>'t4'!AC49</f>
        <v>0</v>
      </c>
      <c r="G32" s="401">
        <f t="shared" si="1"/>
        <v>0</v>
      </c>
      <c r="H32" s="401">
        <f>'t4'!AT32</f>
        <v>0</v>
      </c>
      <c r="I32" s="195" t="str">
        <f t="shared" si="0"/>
        <v>OK</v>
      </c>
    </row>
    <row r="33" spans="1:9" ht="13.5" customHeight="1">
      <c r="A33" s="168" t="str">
        <f>'t1'!A33</f>
        <v>POSIZ.ECON. B6 PROFILI ACCESSO B1</v>
      </c>
      <c r="B33" s="205" t="str">
        <f>'t1'!B33</f>
        <v>038491</v>
      </c>
      <c r="C33" s="400">
        <f>'t1'!C33+'t1'!D33</f>
        <v>0</v>
      </c>
      <c r="D33" s="400">
        <f>'t5'!Q34+'t5'!R34</f>
        <v>0</v>
      </c>
      <c r="E33" s="401">
        <f>'t6'!S34+'t6'!T34</f>
        <v>0</v>
      </c>
      <c r="F33" s="401">
        <f>'t4'!AD49</f>
        <v>0</v>
      </c>
      <c r="G33" s="401">
        <f t="shared" si="1"/>
        <v>0</v>
      </c>
      <c r="H33" s="401">
        <f>'t4'!AT33</f>
        <v>0</v>
      </c>
      <c r="I33" s="195" t="str">
        <f t="shared" si="0"/>
        <v>OK</v>
      </c>
    </row>
    <row r="34" spans="1:9" ht="13.5" customHeight="1">
      <c r="A34" s="168" t="str">
        <f>'t1'!A34</f>
        <v>POSIZ.ECON. B5 PROFILI ACCESSO B3</v>
      </c>
      <c r="B34" s="205" t="str">
        <f>'t1'!B34</f>
        <v>037492</v>
      </c>
      <c r="C34" s="400">
        <f>'t1'!C34+'t1'!D34</f>
        <v>0</v>
      </c>
      <c r="D34" s="400">
        <f>'t5'!Q35+'t5'!R35</f>
        <v>0</v>
      </c>
      <c r="E34" s="401">
        <f>'t6'!S35+'t6'!T35</f>
        <v>0</v>
      </c>
      <c r="F34" s="401">
        <f>'t4'!AE49</f>
        <v>1</v>
      </c>
      <c r="G34" s="401">
        <f t="shared" si="1"/>
        <v>1</v>
      </c>
      <c r="H34" s="401">
        <f>'t4'!AT34</f>
        <v>1</v>
      </c>
      <c r="I34" s="195" t="str">
        <f t="shared" si="0"/>
        <v>OK</v>
      </c>
    </row>
    <row r="35" spans="1:9" ht="13.5" customHeight="1">
      <c r="A35" s="168" t="str">
        <f>'t1'!A35</f>
        <v>POSIZ.ECON. B5 PROFILI ACCESSO B1</v>
      </c>
      <c r="B35" s="205" t="str">
        <f>'t1'!B35</f>
        <v>037493</v>
      </c>
      <c r="C35" s="400">
        <f>'t1'!C35+'t1'!D35</f>
        <v>0</v>
      </c>
      <c r="D35" s="400">
        <f>'t5'!Q36+'t5'!R36</f>
        <v>0</v>
      </c>
      <c r="E35" s="401">
        <f>'t6'!S36+'t6'!T36</f>
        <v>0</v>
      </c>
      <c r="F35" s="401">
        <f>'t4'!AF49</f>
        <v>0</v>
      </c>
      <c r="G35" s="401">
        <f t="shared" si="1"/>
        <v>0</v>
      </c>
      <c r="H35" s="401">
        <f>'t4'!AT35</f>
        <v>0</v>
      </c>
      <c r="I35" s="195" t="str">
        <f t="shared" si="0"/>
        <v>OK</v>
      </c>
    </row>
    <row r="36" spans="1:9" ht="13.5" customHeight="1">
      <c r="A36" s="168" t="str">
        <f>'t1'!A36</f>
        <v>POSIZ.ECON. B4 PROFILI ACCESSO B3</v>
      </c>
      <c r="B36" s="205" t="str">
        <f>'t1'!B36</f>
        <v>036494</v>
      </c>
      <c r="C36" s="400">
        <f>'t1'!C36+'t1'!D36</f>
        <v>31</v>
      </c>
      <c r="D36" s="400">
        <f>'t5'!Q37+'t5'!R37</f>
        <v>0</v>
      </c>
      <c r="E36" s="401">
        <f>'t6'!S37+'t6'!T37</f>
        <v>0</v>
      </c>
      <c r="F36" s="401">
        <f>'t4'!AG49</f>
        <v>0</v>
      </c>
      <c r="G36" s="401">
        <f t="shared" si="1"/>
        <v>31</v>
      </c>
      <c r="H36" s="401">
        <f>'t4'!AT36</f>
        <v>1</v>
      </c>
      <c r="I36" s="195" t="str">
        <f t="shared" si="0"/>
        <v>OK</v>
      </c>
    </row>
    <row r="37" spans="1:9" ht="13.5" customHeight="1">
      <c r="A37" s="168" t="str">
        <f>'t1'!A37</f>
        <v>POSIZ.ECON. B4 PROFILI ACCESSO B1</v>
      </c>
      <c r="B37" s="205" t="str">
        <f>'t1'!B37</f>
        <v>036495</v>
      </c>
      <c r="C37" s="400">
        <f>'t1'!C37+'t1'!D37</f>
        <v>2</v>
      </c>
      <c r="D37" s="400">
        <f>'t5'!Q38+'t5'!R38</f>
        <v>0</v>
      </c>
      <c r="E37" s="401">
        <f>'t6'!S38+'t6'!T38</f>
        <v>0</v>
      </c>
      <c r="F37" s="401">
        <f>'t4'!AH49</f>
        <v>0</v>
      </c>
      <c r="G37" s="401">
        <f t="shared" si="1"/>
        <v>2</v>
      </c>
      <c r="H37" s="401">
        <f>'t4'!AT37</f>
        <v>0</v>
      </c>
      <c r="I37" s="195" t="str">
        <f t="shared" si="0"/>
        <v>OK</v>
      </c>
    </row>
    <row r="38" spans="1:9" ht="13.5" customHeight="1">
      <c r="A38" s="168" t="str">
        <f>'t1'!A38</f>
        <v>POSIZIONE ECONOMICA DI ACCESSO B3</v>
      </c>
      <c r="B38" s="205" t="str">
        <f>'t1'!B38</f>
        <v>055000</v>
      </c>
      <c r="C38" s="400">
        <f>'t1'!C38+'t1'!D38</f>
        <v>13</v>
      </c>
      <c r="D38" s="400">
        <f>'t5'!Q39+'t5'!R39</f>
        <v>1</v>
      </c>
      <c r="E38" s="401">
        <f>'t6'!S39+'t6'!T39</f>
        <v>0</v>
      </c>
      <c r="F38" s="401">
        <f>'t4'!AI49</f>
        <v>0</v>
      </c>
      <c r="G38" s="401">
        <f t="shared" si="1"/>
        <v>12</v>
      </c>
      <c r="H38" s="401">
        <f>'t4'!AT38</f>
        <v>0</v>
      </c>
      <c r="I38" s="195" t="str">
        <f t="shared" si="0"/>
        <v>OK</v>
      </c>
    </row>
    <row r="39" spans="1:9" ht="13.5" customHeight="1">
      <c r="A39" s="168" t="str">
        <f>'t1'!A39</f>
        <v>POSIZIONE ECONOMICA B3</v>
      </c>
      <c r="B39" s="205" t="str">
        <f>'t1'!B39</f>
        <v>034000</v>
      </c>
      <c r="C39" s="400">
        <f>'t1'!C39+'t1'!D39</f>
        <v>13</v>
      </c>
      <c r="D39" s="400">
        <f>'t5'!Q40+'t5'!R40</f>
        <v>0</v>
      </c>
      <c r="E39" s="401">
        <f>'t6'!S40+'t6'!T40</f>
        <v>0</v>
      </c>
      <c r="F39" s="401">
        <f>'t4'!AJ49</f>
        <v>0</v>
      </c>
      <c r="G39" s="401">
        <f t="shared" si="1"/>
        <v>13</v>
      </c>
      <c r="H39" s="401">
        <f>'t4'!AT39</f>
        <v>0</v>
      </c>
      <c r="I39" s="195" t="str">
        <f t="shared" si="0"/>
        <v>OK</v>
      </c>
    </row>
    <row r="40" spans="1:9" ht="13.5" customHeight="1">
      <c r="A40" s="168" t="str">
        <f>'t1'!A40</f>
        <v>POSIZIONE ECONOMICA B2</v>
      </c>
      <c r="B40" s="205" t="str">
        <f>'t1'!B40</f>
        <v>032000</v>
      </c>
      <c r="C40" s="400">
        <f>'t1'!C40+'t1'!D40</f>
        <v>10</v>
      </c>
      <c r="D40" s="400">
        <f>'t5'!Q41+'t5'!R41</f>
        <v>0</v>
      </c>
      <c r="E40" s="401">
        <f>'t6'!S41+'t6'!T41</f>
        <v>0</v>
      </c>
      <c r="F40" s="401">
        <f>'t4'!AK49</f>
        <v>0</v>
      </c>
      <c r="G40" s="401">
        <f t="shared" si="1"/>
        <v>10</v>
      </c>
      <c r="H40" s="401">
        <f>'t4'!AT40</f>
        <v>0</v>
      </c>
      <c r="I40" s="195" t="str">
        <f t="shared" si="0"/>
        <v>OK</v>
      </c>
    </row>
    <row r="41" spans="1:9" ht="13.5" customHeight="1">
      <c r="A41" s="168" t="str">
        <f>'t1'!A41</f>
        <v>POSIZIONE ECONOMICA DI ACCESSO B1</v>
      </c>
      <c r="B41" s="205" t="str">
        <f>'t1'!B41</f>
        <v>054000</v>
      </c>
      <c r="C41" s="400">
        <f>'t1'!C41+'t1'!D41</f>
        <v>1</v>
      </c>
      <c r="D41" s="400">
        <f>'t5'!Q42+'t5'!R42</f>
        <v>0</v>
      </c>
      <c r="E41" s="401">
        <f>'t6'!S42+'t6'!T42</f>
        <v>0</v>
      </c>
      <c r="F41" s="401">
        <f>'t4'!AL49</f>
        <v>0</v>
      </c>
      <c r="G41" s="401">
        <f t="shared" si="1"/>
        <v>1</v>
      </c>
      <c r="H41" s="401">
        <f>'t4'!AT41</f>
        <v>0</v>
      </c>
      <c r="I41" s="195" t="str">
        <f aca="true" t="shared" si="2" ref="I41:I49">IF(H41&lt;=G41,"OK","ERRORE")</f>
        <v>OK</v>
      </c>
    </row>
    <row r="42" spans="1:9" ht="13.5" customHeight="1">
      <c r="A42" s="168" t="str">
        <f>'t1'!A42</f>
        <v>POSIZIONE ECONOMICA A5</v>
      </c>
      <c r="B42" s="205" t="str">
        <f>'t1'!B42</f>
        <v>0A5000</v>
      </c>
      <c r="C42" s="400">
        <f>'t1'!C42+'t1'!D42</f>
        <v>0</v>
      </c>
      <c r="D42" s="400">
        <f>'t5'!Q43+'t5'!R43</f>
        <v>0</v>
      </c>
      <c r="E42" s="401">
        <f>'t6'!S43+'t6'!T43</f>
        <v>0</v>
      </c>
      <c r="F42" s="401">
        <f>'t4'!AM49</f>
        <v>0</v>
      </c>
      <c r="G42" s="401">
        <f t="shared" si="1"/>
        <v>0</v>
      </c>
      <c r="H42" s="401">
        <f>'t4'!AT42</f>
        <v>0</v>
      </c>
      <c r="I42" s="195" t="str">
        <f t="shared" si="2"/>
        <v>OK</v>
      </c>
    </row>
    <row r="43" spans="1:9" ht="13.5" customHeight="1">
      <c r="A43" s="168" t="str">
        <f>'t1'!A43</f>
        <v>POSIZIONE ECONOMICA A4</v>
      </c>
      <c r="B43" s="205" t="str">
        <f>'t1'!B43</f>
        <v>028000</v>
      </c>
      <c r="C43" s="400">
        <f>'t1'!C43+'t1'!D43</f>
        <v>0</v>
      </c>
      <c r="D43" s="400">
        <f>'t5'!Q44+'t5'!R44</f>
        <v>0</v>
      </c>
      <c r="E43" s="401">
        <f>'t6'!S44+'t6'!T44</f>
        <v>0</v>
      </c>
      <c r="F43" s="401">
        <f>'t4'!AN49</f>
        <v>0</v>
      </c>
      <c r="G43" s="401">
        <f t="shared" si="1"/>
        <v>0</v>
      </c>
      <c r="H43" s="401">
        <f>'t4'!AT43</f>
        <v>0</v>
      </c>
      <c r="I43" s="195" t="str">
        <f t="shared" si="2"/>
        <v>OK</v>
      </c>
    </row>
    <row r="44" spans="1:9" ht="13.5" customHeight="1">
      <c r="A44" s="168" t="str">
        <f>'t1'!A44</f>
        <v>POSIZIONE ECONOMICA A3</v>
      </c>
      <c r="B44" s="205" t="str">
        <f>'t1'!B44</f>
        <v>027000</v>
      </c>
      <c r="C44" s="400">
        <f>'t1'!C44+'t1'!D44</f>
        <v>0</v>
      </c>
      <c r="D44" s="400">
        <f>'t5'!Q45+'t5'!R45</f>
        <v>0</v>
      </c>
      <c r="E44" s="401">
        <f>'t6'!S45+'t6'!T45</f>
        <v>0</v>
      </c>
      <c r="F44" s="401">
        <f>'t4'!AO49</f>
        <v>0</v>
      </c>
      <c r="G44" s="401">
        <f t="shared" si="1"/>
        <v>0</v>
      </c>
      <c r="H44" s="401">
        <f>'t4'!AT44</f>
        <v>0</v>
      </c>
      <c r="I44" s="195" t="str">
        <f t="shared" si="2"/>
        <v>OK</v>
      </c>
    </row>
    <row r="45" spans="1:9" ht="13.5" customHeight="1">
      <c r="A45" s="168" t="str">
        <f>'t1'!A45</f>
        <v>POSIZIONE ECONOMICA A2</v>
      </c>
      <c r="B45" s="205" t="str">
        <f>'t1'!B45</f>
        <v>025000</v>
      </c>
      <c r="C45" s="400">
        <f>'t1'!C45+'t1'!D45</f>
        <v>0</v>
      </c>
      <c r="D45" s="400">
        <f>'t5'!Q46+'t5'!R46</f>
        <v>0</v>
      </c>
      <c r="E45" s="401">
        <f>'t6'!S46+'t6'!T46</f>
        <v>0</v>
      </c>
      <c r="F45" s="401">
        <f>'t4'!AP49</f>
        <v>0</v>
      </c>
      <c r="G45" s="401">
        <f t="shared" si="1"/>
        <v>0</v>
      </c>
      <c r="H45" s="401">
        <f>'t4'!AT45</f>
        <v>0</v>
      </c>
      <c r="I45" s="195" t="str">
        <f t="shared" si="2"/>
        <v>OK</v>
      </c>
    </row>
    <row r="46" spans="1:9" ht="13.5" customHeight="1">
      <c r="A46" s="168" t="str">
        <f>'t1'!A46</f>
        <v>POSIZIONE ECONOMICA DI ACCESSO A1</v>
      </c>
      <c r="B46" s="205" t="str">
        <f>'t1'!B46</f>
        <v>053000</v>
      </c>
      <c r="C46" s="400">
        <f>'t1'!C46+'t1'!D46</f>
        <v>1</v>
      </c>
      <c r="D46" s="400">
        <f>'t5'!Q47+'t5'!R47</f>
        <v>0</v>
      </c>
      <c r="E46" s="401">
        <f>'t6'!S47+'t6'!T47</f>
        <v>0</v>
      </c>
      <c r="F46" s="401">
        <f>'t4'!AQ49</f>
        <v>0</v>
      </c>
      <c r="G46" s="401">
        <f t="shared" si="1"/>
        <v>1</v>
      </c>
      <c r="H46" s="401">
        <f>'t4'!AT46</f>
        <v>0</v>
      </c>
      <c r="I46" s="195" t="str">
        <f t="shared" si="2"/>
        <v>OK</v>
      </c>
    </row>
    <row r="47" spans="1:9" ht="13.5" customHeight="1">
      <c r="A47" s="168" t="str">
        <f>'t1'!A47</f>
        <v>CONTRATTISTI (a)</v>
      </c>
      <c r="B47" s="205" t="str">
        <f>'t1'!B47</f>
        <v>000061</v>
      </c>
      <c r="C47" s="400">
        <f>'t1'!C47+'t1'!D47</f>
        <v>2</v>
      </c>
      <c r="D47" s="400">
        <f>'t5'!Q48+'t5'!R48</f>
        <v>0</v>
      </c>
      <c r="E47" s="401">
        <f>'t6'!S48+'t6'!T48</f>
        <v>0</v>
      </c>
      <c r="F47" s="401">
        <f>'t4'!AR49</f>
        <v>0</v>
      </c>
      <c r="G47" s="401">
        <f t="shared" si="1"/>
        <v>2</v>
      </c>
      <c r="H47" s="401">
        <f>'t4'!AT47</f>
        <v>0</v>
      </c>
      <c r="I47" s="195" t="str">
        <f t="shared" si="2"/>
        <v>OK</v>
      </c>
    </row>
    <row r="48" spans="1:9" ht="13.5" customHeight="1">
      <c r="A48" s="168" t="str">
        <f>'t1'!A48</f>
        <v>COLLABORATORE A TEMPO DETERMIN. (b)</v>
      </c>
      <c r="B48" s="205" t="str">
        <f>'t1'!B48</f>
        <v>000096</v>
      </c>
      <c r="C48" s="400">
        <f>'t1'!C48+'t1'!D48</f>
        <v>0</v>
      </c>
      <c r="D48" s="400">
        <f>'t5'!Q49+'t5'!R49</f>
        <v>0</v>
      </c>
      <c r="E48" s="401">
        <f>'t6'!S49+'t6'!T49</f>
        <v>0</v>
      </c>
      <c r="F48" s="401">
        <f>'t4'!AS49</f>
        <v>0</v>
      </c>
      <c r="G48" s="401">
        <f t="shared" si="1"/>
        <v>0</v>
      </c>
      <c r="H48" s="401">
        <f>'t4'!AT48</f>
        <v>0</v>
      </c>
      <c r="I48" s="195" t="str">
        <f t="shared" si="2"/>
        <v>OK</v>
      </c>
    </row>
    <row r="49" spans="1:9" s="407" customFormat="1" ht="15.75" customHeight="1">
      <c r="A49" s="453" t="str">
        <f>'t1'!A49</f>
        <v>TOTALE</v>
      </c>
      <c r="B49" s="227"/>
      <c r="C49" s="431">
        <f aca="true" t="shared" si="3" ref="C49:H49">SUM(C6:C48)</f>
        <v>273</v>
      </c>
      <c r="D49" s="431">
        <f t="shared" si="3"/>
        <v>14</v>
      </c>
      <c r="E49" s="431">
        <f t="shared" si="3"/>
        <v>10</v>
      </c>
      <c r="F49" s="431">
        <f t="shared" si="3"/>
        <v>2</v>
      </c>
      <c r="G49" s="431">
        <f t="shared" si="3"/>
        <v>271</v>
      </c>
      <c r="H49" s="431">
        <f t="shared" si="3"/>
        <v>2</v>
      </c>
      <c r="I49" s="196" t="str">
        <f t="shared" si="2"/>
        <v>OK</v>
      </c>
    </row>
  </sheetData>
  <sheetProtection password="EA98" sheet="1" formatColumns="0" selectLockedCells="1" selectUnlockedCells="1"/>
  <mergeCells count="2">
    <mergeCell ref="D2:I2"/>
    <mergeCell ref="A1:G1"/>
  </mergeCells>
  <printOptions horizontalCentered="1" verticalCentered="1"/>
  <pageMargins left="0" right="0" top="0.17" bottom="0.17" header="0.19" footer="0.2"/>
  <pageSetup fitToHeight="1" fitToWidth="1" horizontalDpi="300" verticalDpi="3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1">
      <selection activeCell="F48" sqref="F48"/>
    </sheetView>
  </sheetViews>
  <sheetFormatPr defaultColWidth="12.83203125" defaultRowHeight="10.5"/>
  <cols>
    <col min="1" max="1" width="6.83203125" style="1132" customWidth="1"/>
    <col min="2" max="2" width="25.83203125" style="1140" customWidth="1"/>
    <col min="3" max="3" width="5.5" style="1140" customWidth="1"/>
    <col min="4" max="4" width="56.16015625" style="1140" customWidth="1"/>
    <col min="5" max="5" width="22.5" style="1140" customWidth="1"/>
    <col min="6" max="6" width="23.16015625" style="1140" customWidth="1"/>
    <col min="7" max="7" width="21.5" style="1140" customWidth="1"/>
    <col min="8" max="8" width="37" style="773" customWidth="1"/>
    <col min="9" max="9" width="4.16015625" style="776" hidden="1" customWidth="1"/>
    <col min="10" max="10" width="11.16015625" style="773" customWidth="1"/>
    <col min="11" max="16384" width="12.83203125" style="773" customWidth="1"/>
  </cols>
  <sheetData>
    <row r="1" spans="2:9" ht="62.25" customHeight="1">
      <c r="B1" s="1133"/>
      <c r="C1" s="1133"/>
      <c r="D1" s="1133"/>
      <c r="E1" s="1133"/>
      <c r="F1" s="1133"/>
      <c r="G1" s="1133"/>
      <c r="H1" s="716" t="s">
        <v>438</v>
      </c>
      <c r="I1" s="715"/>
    </row>
    <row r="2" spans="1:9" ht="26.25" customHeight="1" thickBot="1">
      <c r="A2" s="1134"/>
      <c r="B2" s="1135"/>
      <c r="C2" s="1135"/>
      <c r="D2" s="708" t="str">
        <f>'t1'!A1</f>
        <v>COMPARTO REGIONI ED AUTONOMIE LOCALI</v>
      </c>
      <c r="E2" s="1135"/>
      <c r="F2" s="1135"/>
      <c r="G2" s="1135"/>
      <c r="H2" s="717"/>
      <c r="I2" s="715"/>
    </row>
    <row r="3" spans="2:9" ht="15">
      <c r="B3" s="703"/>
      <c r="C3" s="703"/>
      <c r="D3" s="703"/>
      <c r="E3" s="703"/>
      <c r="F3" s="703"/>
      <c r="G3" s="703"/>
      <c r="H3" s="718"/>
      <c r="I3" s="715"/>
    </row>
    <row r="4" spans="2:9" ht="15" hidden="1">
      <c r="B4" s="699"/>
      <c r="C4" s="698"/>
      <c r="D4" s="699"/>
      <c r="E4" s="699"/>
      <c r="F4" s="719" t="s">
        <v>71</v>
      </c>
      <c r="G4" s="699"/>
      <c r="H4" s="718"/>
      <c r="I4" s="715"/>
    </row>
    <row r="5" spans="2:9" ht="15" hidden="1">
      <c r="B5" s="699"/>
      <c r="C5" s="698"/>
      <c r="D5" s="699"/>
      <c r="E5" s="699"/>
      <c r="F5" s="726"/>
      <c r="G5" s="699"/>
      <c r="H5" s="718"/>
      <c r="I5" s="715"/>
    </row>
    <row r="6" spans="1:9" ht="17.25" customHeight="1" hidden="1">
      <c r="A6" s="1132" t="s">
        <v>338</v>
      </c>
      <c r="B6" s="704" t="s">
        <v>456</v>
      </c>
      <c r="C6" s="1136"/>
      <c r="D6" s="1133"/>
      <c r="E6" s="1133"/>
      <c r="F6" s="724"/>
      <c r="G6" s="1133"/>
      <c r="H6" s="718"/>
      <c r="I6" s="715"/>
    </row>
    <row r="7" spans="2:9" ht="17.25" customHeight="1" hidden="1">
      <c r="B7" s="699"/>
      <c r="C7" s="698"/>
      <c r="D7" s="699"/>
      <c r="E7" s="699"/>
      <c r="F7" s="699"/>
      <c r="G7" s="699"/>
      <c r="H7" s="718"/>
      <c r="I7" s="715"/>
    </row>
    <row r="8" spans="1:9" ht="15" customHeight="1" hidden="1">
      <c r="A8" s="1132" t="s">
        <v>339</v>
      </c>
      <c r="B8" s="736" t="s">
        <v>457</v>
      </c>
      <c r="C8" s="698"/>
      <c r="D8" s="699"/>
      <c r="E8" s="699"/>
      <c r="F8" s="724"/>
      <c r="G8" s="699"/>
      <c r="H8" s="718"/>
      <c r="I8" s="715"/>
    </row>
    <row r="9" spans="2:9" ht="15" customHeight="1" hidden="1">
      <c r="B9" s="737"/>
      <c r="C9" s="698"/>
      <c r="D9" s="699"/>
      <c r="E9" s="699"/>
      <c r="F9" s="699"/>
      <c r="G9" s="699"/>
      <c r="H9" s="718"/>
      <c r="I9" s="715"/>
    </row>
    <row r="10" spans="2:9" ht="17.25" customHeight="1" hidden="1">
      <c r="B10" s="699"/>
      <c r="C10" s="698"/>
      <c r="D10" s="699"/>
      <c r="E10" s="699"/>
      <c r="F10" s="719" t="s">
        <v>298</v>
      </c>
      <c r="G10" s="719" t="s">
        <v>299</v>
      </c>
      <c r="H10" s="718"/>
      <c r="I10" s="715"/>
    </row>
    <row r="11" spans="1:14" ht="20.25" customHeight="1" hidden="1">
      <c r="A11" s="1132" t="s">
        <v>347</v>
      </c>
      <c r="B11" s="706" t="s">
        <v>455</v>
      </c>
      <c r="C11" s="698"/>
      <c r="D11" s="699"/>
      <c r="E11" s="699"/>
      <c r="F11" s="654"/>
      <c r="G11" s="654"/>
      <c r="H11" s="1137" t="str">
        <f>IF(I11=0,"RISPOSTA OBBLIGATORIA","")</f>
        <v>RISPOSTA OBBLIGATORIA</v>
      </c>
      <c r="I11" s="715">
        <v>0</v>
      </c>
      <c r="N11" s="775"/>
    </row>
    <row r="12" spans="2:9" ht="15" customHeight="1" hidden="1">
      <c r="B12" s="699"/>
      <c r="C12" s="699"/>
      <c r="D12" s="699"/>
      <c r="E12" s="699"/>
      <c r="F12" s="699"/>
      <c r="G12" s="699"/>
      <c r="H12" s="721"/>
      <c r="I12" s="715"/>
    </row>
    <row r="13" spans="2:9" ht="15" customHeight="1" hidden="1">
      <c r="B13" s="1308" t="s">
        <v>482</v>
      </c>
      <c r="C13" s="1309"/>
      <c r="D13" s="1310"/>
      <c r="E13" s="724"/>
      <c r="F13" s="1311" t="str">
        <f>IF(E13:E22=0,"RISPOSTA OBBLIGATORIA","")</f>
        <v>RISPOSTA OBBLIGATORIA</v>
      </c>
      <c r="G13" s="1312"/>
      <c r="H13" s="1313"/>
      <c r="I13" s="715"/>
    </row>
    <row r="14" spans="2:9" ht="15" customHeight="1" hidden="1">
      <c r="B14" s="1309"/>
      <c r="C14" s="1309"/>
      <c r="D14" s="1310"/>
      <c r="E14" s="739"/>
      <c r="F14" s="1314"/>
      <c r="G14" s="1315"/>
      <c r="H14" s="1316"/>
      <c r="I14" s="590"/>
    </row>
    <row r="15" spans="1:9" ht="15" customHeight="1" hidden="1">
      <c r="A15" s="740"/>
      <c r="B15" s="1309"/>
      <c r="C15" s="1309"/>
      <c r="D15" s="1310"/>
      <c r="E15" s="739"/>
      <c r="F15" s="1314"/>
      <c r="G15" s="1315"/>
      <c r="H15" s="1316"/>
      <c r="I15" s="590"/>
    </row>
    <row r="16" spans="1:9" ht="15" customHeight="1" hidden="1">
      <c r="A16" s="740"/>
      <c r="B16" s="1309"/>
      <c r="C16" s="1309"/>
      <c r="D16" s="1310"/>
      <c r="E16" s="739"/>
      <c r="F16" s="1314"/>
      <c r="G16" s="1315"/>
      <c r="H16" s="1316"/>
      <c r="I16" s="590"/>
    </row>
    <row r="17" spans="1:9" ht="15" customHeight="1" hidden="1">
      <c r="A17" s="740"/>
      <c r="B17" s="1309"/>
      <c r="C17" s="1309"/>
      <c r="D17" s="1310"/>
      <c r="E17" s="739"/>
      <c r="F17" s="1314"/>
      <c r="G17" s="1315"/>
      <c r="H17" s="1316"/>
      <c r="I17" s="590"/>
    </row>
    <row r="18" spans="1:9" ht="15" customHeight="1" hidden="1">
      <c r="A18" s="740"/>
      <c r="B18" s="1309"/>
      <c r="C18" s="1309"/>
      <c r="D18" s="1310"/>
      <c r="E18" s="739"/>
      <c r="F18" s="1314"/>
      <c r="G18" s="1315"/>
      <c r="H18" s="1316"/>
      <c r="I18" s="590"/>
    </row>
    <row r="19" spans="1:9" ht="15" customHeight="1" hidden="1">
      <c r="A19" s="740"/>
      <c r="B19" s="1309"/>
      <c r="C19" s="1309"/>
      <c r="D19" s="1310"/>
      <c r="E19" s="739"/>
      <c r="F19" s="1314"/>
      <c r="G19" s="1315"/>
      <c r="H19" s="1316"/>
      <c r="I19" s="590"/>
    </row>
    <row r="20" spans="1:10" s="774" customFormat="1" ht="15" customHeight="1" hidden="1">
      <c r="A20" s="740"/>
      <c r="B20" s="1309"/>
      <c r="C20" s="1309"/>
      <c r="D20" s="1310"/>
      <c r="E20" s="739"/>
      <c r="F20" s="1314"/>
      <c r="G20" s="1315"/>
      <c r="H20" s="1316"/>
      <c r="I20" s="735"/>
      <c r="J20" s="773"/>
    </row>
    <row r="21" spans="1:9" ht="15" customHeight="1" hidden="1">
      <c r="A21" s="740"/>
      <c r="B21" s="1309"/>
      <c r="C21" s="1309"/>
      <c r="D21" s="1310"/>
      <c r="E21" s="739"/>
      <c r="F21" s="1314"/>
      <c r="G21" s="1315"/>
      <c r="H21" s="1316"/>
      <c r="I21" s="590"/>
    </row>
    <row r="22" spans="1:9" ht="15" customHeight="1" hidden="1">
      <c r="A22" s="740"/>
      <c r="B22" s="1309"/>
      <c r="C22" s="1309"/>
      <c r="D22" s="1310"/>
      <c r="E22" s="739"/>
      <c r="F22" s="1314"/>
      <c r="G22" s="1315"/>
      <c r="H22" s="1316"/>
      <c r="I22" s="590"/>
    </row>
    <row r="23" spans="1:9" ht="15" customHeight="1" hidden="1">
      <c r="A23" s="740"/>
      <c r="B23" s="740"/>
      <c r="C23" s="740"/>
      <c r="D23" s="740"/>
      <c r="E23" s="740"/>
      <c r="F23" s="740"/>
      <c r="G23" s="740"/>
      <c r="H23" s="738"/>
      <c r="I23" s="590"/>
    </row>
    <row r="24" spans="2:9" ht="15" customHeight="1">
      <c r="B24" s="1133"/>
      <c r="C24" s="1133"/>
      <c r="D24" s="1133"/>
      <c r="E24" s="1133"/>
      <c r="F24" s="719" t="s">
        <v>298</v>
      </c>
      <c r="G24" s="719" t="s">
        <v>299</v>
      </c>
      <c r="H24" s="718"/>
      <c r="I24" s="715"/>
    </row>
    <row r="25" spans="1:9" ht="30.75" customHeight="1">
      <c r="A25" s="1132" t="s">
        <v>348</v>
      </c>
      <c r="B25" s="1300" t="s">
        <v>692</v>
      </c>
      <c r="C25" s="1300"/>
      <c r="D25" s="1300"/>
      <c r="E25" s="1303"/>
      <c r="F25" s="761"/>
      <c r="G25" s="761"/>
      <c r="H25" s="1137">
        <f>IF(I25=0,"RISPOSTA OBBLIGATORIA","")</f>
      </c>
      <c r="I25" s="715">
        <v>2</v>
      </c>
    </row>
    <row r="26" spans="2:9" ht="15" customHeight="1">
      <c r="B26" s="702"/>
      <c r="C26" s="702"/>
      <c r="D26" s="702"/>
      <c r="E26" s="702"/>
      <c r="F26" s="1176"/>
      <c r="G26" s="1176"/>
      <c r="H26" s="718"/>
      <c r="I26" s="715"/>
    </row>
    <row r="27" spans="2:14" ht="20.25" customHeight="1" hidden="1">
      <c r="B27" s="702"/>
      <c r="C27" s="702"/>
      <c r="D27" s="702"/>
      <c r="E27" s="702"/>
      <c r="F27" s="1176"/>
      <c r="G27" s="1176"/>
      <c r="H27" s="718"/>
      <c r="I27" s="715"/>
      <c r="N27" s="775"/>
    </row>
    <row r="28" spans="2:9" ht="15" customHeight="1" hidden="1">
      <c r="B28" s="702"/>
      <c r="C28" s="702"/>
      <c r="D28" s="702"/>
      <c r="E28" s="702"/>
      <c r="F28" s="1133"/>
      <c r="G28" s="1133"/>
      <c r="H28" s="718"/>
      <c r="I28" s="715"/>
    </row>
    <row r="29" spans="1:14" ht="43.5" customHeight="1">
      <c r="A29" s="1132" t="s">
        <v>341</v>
      </c>
      <c r="B29" s="1292" t="s">
        <v>877</v>
      </c>
      <c r="C29" s="1301"/>
      <c r="D29" s="1301"/>
      <c r="E29" s="1301"/>
      <c r="F29" s="654"/>
      <c r="G29" s="654"/>
      <c r="H29" s="1137">
        <f>IF(I29=0,"RISPOSTA OBBLIGATORIA","")</f>
      </c>
      <c r="I29" s="715">
        <v>2</v>
      </c>
      <c r="N29" s="775"/>
    </row>
    <row r="30" spans="2:9" ht="15" customHeight="1">
      <c r="B30" s="702"/>
      <c r="C30" s="702"/>
      <c r="D30" s="702"/>
      <c r="E30" s="702"/>
      <c r="F30" s="1133"/>
      <c r="G30" s="1133"/>
      <c r="H30" s="718"/>
      <c r="I30" s="715"/>
    </row>
    <row r="31" spans="1:14" ht="43.5" customHeight="1">
      <c r="A31" s="1132" t="s">
        <v>342</v>
      </c>
      <c r="B31" s="1290" t="s">
        <v>693</v>
      </c>
      <c r="C31" s="1291"/>
      <c r="D31" s="1291"/>
      <c r="E31" s="1291"/>
      <c r="F31" s="654"/>
      <c r="G31" s="654"/>
      <c r="H31" s="1137">
        <f>IF(I31=0,"RISPOSTA OBBLIGATORIA","")</f>
      </c>
      <c r="I31" s="715">
        <v>1</v>
      </c>
      <c r="N31" s="775"/>
    </row>
    <row r="32" spans="2:9" ht="15" customHeight="1">
      <c r="B32" s="699"/>
      <c r="C32" s="702"/>
      <c r="D32" s="702"/>
      <c r="E32" s="702"/>
      <c r="F32" s="1133"/>
      <c r="G32" s="1133"/>
      <c r="H32" s="718"/>
      <c r="I32" s="715"/>
    </row>
    <row r="33" spans="1:14" ht="31.5" customHeight="1">
      <c r="A33" s="1132" t="s">
        <v>345</v>
      </c>
      <c r="B33" s="1290" t="s">
        <v>694</v>
      </c>
      <c r="C33" s="1291"/>
      <c r="D33" s="1291"/>
      <c r="E33" s="1291"/>
      <c r="F33" s="654"/>
      <c r="G33" s="654"/>
      <c r="H33" s="1137">
        <f>IF(I33=0,"RISPOSTA OBBLIGATORIA","")</f>
      </c>
      <c r="I33" s="715">
        <v>1</v>
      </c>
      <c r="N33" s="775"/>
    </row>
    <row r="34" spans="2:9" ht="15" customHeight="1">
      <c r="B34" s="699"/>
      <c r="C34" s="702"/>
      <c r="D34" s="702"/>
      <c r="E34" s="702"/>
      <c r="F34" s="1133"/>
      <c r="G34" s="1133"/>
      <c r="H34" s="718"/>
      <c r="I34" s="715"/>
    </row>
    <row r="35" spans="1:14" ht="20.25" customHeight="1">
      <c r="A35" s="1132" t="s">
        <v>346</v>
      </c>
      <c r="B35" s="1298" t="s">
        <v>876</v>
      </c>
      <c r="C35" s="1298"/>
      <c r="D35" s="1298"/>
      <c r="E35" s="1299"/>
      <c r="F35" s="654"/>
      <c r="G35" s="654"/>
      <c r="H35" s="1137">
        <f>IF(I35=0,"RISPOSTA OBBLIGATORIA","")</f>
      </c>
      <c r="I35" s="715">
        <v>2</v>
      </c>
      <c r="N35" s="775"/>
    </row>
    <row r="36" spans="2:9" ht="15" customHeight="1">
      <c r="B36" s="702"/>
      <c r="C36" s="706" t="s">
        <v>695</v>
      </c>
      <c r="D36" s="702"/>
      <c r="E36" s="702"/>
      <c r="F36"/>
      <c r="G36" s="1133"/>
      <c r="H36" s="718"/>
      <c r="I36" s="715"/>
    </row>
    <row r="37" spans="2:9" ht="20.25" customHeight="1">
      <c r="B37" s="702"/>
      <c r="C37" s="778"/>
      <c r="D37" s="699" t="s">
        <v>878</v>
      </c>
      <c r="E37" s="702"/>
      <c r="F37" s="1178"/>
      <c r="G37" s="1294" t="str">
        <f>IF(I35=1,(IF(I37=0,"SELEZIONARE ALMENO UN RIFERIMENTO NORMATIVO","OK")),IF(AND(I35=2,I37&gt;0),"LA RISPOSTA DATA IN QUESTA SEZIONE NON VERRA' CONSIDERATA",IF(AND(I35=0,I37&gt;0),"RISPONDERE ALLA DOMANDA 9"," ")))</f>
        <v> </v>
      </c>
      <c r="H37" s="1295"/>
      <c r="I37" s="715">
        <v>0</v>
      </c>
    </row>
    <row r="38" spans="2:9" ht="20.25" customHeight="1">
      <c r="B38" s="702"/>
      <c r="C38" s="778"/>
      <c r="D38" s="699" t="s">
        <v>879</v>
      </c>
      <c r="E38" s="702"/>
      <c r="F38" s="1178"/>
      <c r="G38" s="1294"/>
      <c r="H38" s="1295"/>
      <c r="I38" s="715"/>
    </row>
    <row r="39" spans="2:9" ht="20.25" customHeight="1">
      <c r="B39" s="702"/>
      <c r="C39" s="778"/>
      <c r="D39" s="699" t="s">
        <v>880</v>
      </c>
      <c r="E39" s="702"/>
      <c r="F39" s="1178"/>
      <c r="G39" s="1294"/>
      <c r="H39" s="1295"/>
      <c r="I39" s="715"/>
    </row>
    <row r="40" spans="2:9" ht="15" customHeight="1" hidden="1">
      <c r="B40" s="702"/>
      <c r="C40" s="702"/>
      <c r="D40" s="702"/>
      <c r="E40" s="702"/>
      <c r="F40" s="1133"/>
      <c r="G40" s="1133"/>
      <c r="H40" s="718"/>
      <c r="I40" s="715"/>
    </row>
    <row r="41" spans="2:9" ht="15" customHeight="1">
      <c r="B41" s="702"/>
      <c r="C41" s="702"/>
      <c r="D41" s="702"/>
      <c r="E41" s="702"/>
      <c r="F41" s="1133"/>
      <c r="G41" s="1133"/>
      <c r="H41" s="718"/>
      <c r="I41" s="715"/>
    </row>
    <row r="42" spans="2:9" ht="15" customHeight="1">
      <c r="B42" s="702"/>
      <c r="C42" s="702"/>
      <c r="D42" s="702"/>
      <c r="E42" s="702"/>
      <c r="F42" s="719" t="s">
        <v>298</v>
      </c>
      <c r="G42" s="719" t="s">
        <v>299</v>
      </c>
      <c r="H42" s="718"/>
      <c r="I42" s="715"/>
    </row>
    <row r="43" spans="1:14" ht="32.25" customHeight="1">
      <c r="A43" s="1132" t="s">
        <v>349</v>
      </c>
      <c r="B43" s="1296" t="s">
        <v>696</v>
      </c>
      <c r="C43" s="1296"/>
      <c r="D43" s="1296"/>
      <c r="E43" s="1297"/>
      <c r="F43" s="654"/>
      <c r="G43" s="654"/>
      <c r="H43" s="1137">
        <f>IF(I43=0,"RISPOSTA OBBLIGATORIA","")</f>
      </c>
      <c r="I43" s="715">
        <v>2</v>
      </c>
      <c r="N43" s="775"/>
    </row>
    <row r="44" spans="2:9" ht="15" customHeight="1">
      <c r="B44" s="702"/>
      <c r="C44" s="702"/>
      <c r="D44" s="702"/>
      <c r="E44" s="702"/>
      <c r="F44" s="1133"/>
      <c r="G44" s="1133"/>
      <c r="H44" s="718"/>
      <c r="I44" s="715"/>
    </row>
    <row r="45" spans="1:14" ht="20.25" customHeight="1">
      <c r="A45" s="1132" t="s">
        <v>439</v>
      </c>
      <c r="B45" s="1298" t="s">
        <v>486</v>
      </c>
      <c r="C45" s="1298"/>
      <c r="D45" s="1298"/>
      <c r="E45" s="1299"/>
      <c r="F45" s="654"/>
      <c r="G45" s="654"/>
      <c r="H45" s="1137">
        <f>IF(I45=0,"RISPOSTA OBBLIGATORIA","")</f>
      </c>
      <c r="I45" s="715">
        <v>1</v>
      </c>
      <c r="N45" s="775"/>
    </row>
    <row r="46" spans="2:9" ht="15" customHeight="1">
      <c r="B46" s="702"/>
      <c r="C46" s="702"/>
      <c r="D46" s="702"/>
      <c r="E46" s="702"/>
      <c r="F46" s="1133"/>
      <c r="G46" s="1133"/>
      <c r="H46" s="718"/>
      <c r="I46" s="715"/>
    </row>
    <row r="47" spans="2:9" ht="15" customHeight="1">
      <c r="B47" s="702"/>
      <c r="C47" s="702"/>
      <c r="D47" s="702"/>
      <c r="E47" s="702"/>
      <c r="F47" s="719" t="s">
        <v>71</v>
      </c>
      <c r="G47" s="1133"/>
      <c r="H47" s="718"/>
      <c r="I47" s="715"/>
    </row>
    <row r="48" spans="1:9" ht="33" customHeight="1">
      <c r="A48" s="1132" t="s">
        <v>471</v>
      </c>
      <c r="B48" s="1300" t="s">
        <v>549</v>
      </c>
      <c r="C48" s="1301"/>
      <c r="D48" s="1301"/>
      <c r="E48" s="1302"/>
      <c r="F48" s="741">
        <v>35.11</v>
      </c>
      <c r="G48" s="1304">
        <f>IF(F48=0,"RISPOSTA OBBLIGATORIA","")</f>
      </c>
      <c r="H48" s="1305"/>
      <c r="I48" s="715"/>
    </row>
    <row r="49" spans="2:9" ht="15" customHeight="1">
      <c r="B49" s="702"/>
      <c r="C49" s="702"/>
      <c r="D49" s="702"/>
      <c r="E49" s="702"/>
      <c r="F49" s="1133"/>
      <c r="G49" s="1133"/>
      <c r="H49" s="718"/>
      <c r="I49" s="715"/>
    </row>
    <row r="50" spans="2:9" ht="15" customHeight="1">
      <c r="B50" s="702"/>
      <c r="C50" s="702"/>
      <c r="D50" s="702"/>
      <c r="E50" s="702"/>
      <c r="F50" s="719" t="s">
        <v>698</v>
      </c>
      <c r="G50" s="1133"/>
      <c r="H50" s="718"/>
      <c r="I50" s="715"/>
    </row>
    <row r="51" spans="2:9" ht="15" customHeight="1" hidden="1">
      <c r="B51" s="702"/>
      <c r="C51" s="702"/>
      <c r="D51" s="702"/>
      <c r="E51" s="702"/>
      <c r="F51" s="1133"/>
      <c r="G51" s="1133"/>
      <c r="H51" s="718"/>
      <c r="I51" s="715"/>
    </row>
    <row r="52" spans="2:9" ht="15" customHeight="1" hidden="1">
      <c r="B52" s="702"/>
      <c r="C52" s="702"/>
      <c r="D52" s="702"/>
      <c r="E52" s="702"/>
      <c r="F52" s="1133"/>
      <c r="G52" s="1133"/>
      <c r="H52" s="718"/>
      <c r="I52" s="715"/>
    </row>
    <row r="53" spans="1:9" ht="30" customHeight="1">
      <c r="A53" s="1132" t="s">
        <v>473</v>
      </c>
      <c r="B53" s="1300" t="s">
        <v>697</v>
      </c>
      <c r="C53" s="1300"/>
      <c r="D53" s="1300"/>
      <c r="E53" s="1303"/>
      <c r="F53" s="724">
        <v>0</v>
      </c>
      <c r="G53" s="1304">
        <f>IF(F53="","RISPOSTA OBBLIGATORIA","")</f>
      </c>
      <c r="H53" s="1305"/>
      <c r="I53" s="715"/>
    </row>
    <row r="54" spans="2:9" ht="15" customHeight="1">
      <c r="B54" s="702"/>
      <c r="C54" s="702"/>
      <c r="D54" s="702"/>
      <c r="E54" s="702"/>
      <c r="F54" s="1133"/>
      <c r="G54" s="1133"/>
      <c r="H54" s="718"/>
      <c r="I54" s="715"/>
    </row>
    <row r="55" spans="1:9" ht="28.5" customHeight="1">
      <c r="A55" s="1132" t="s">
        <v>474</v>
      </c>
      <c r="B55" s="1292" t="s">
        <v>699</v>
      </c>
      <c r="C55" s="1301"/>
      <c r="D55" s="1301"/>
      <c r="E55" s="1302"/>
      <c r="F55" s="724">
        <v>0</v>
      </c>
      <c r="G55" s="1304">
        <f>IF(F55="","RISPOSTA OBBLIGATORIA","")</f>
      </c>
      <c r="H55" s="1305"/>
      <c r="I55" s="715"/>
    </row>
    <row r="56" spans="2:9" ht="15" customHeight="1">
      <c r="B56" s="1133"/>
      <c r="C56" s="1133"/>
      <c r="D56" s="1133"/>
      <c r="E56" s="1133"/>
      <c r="F56" s="712"/>
      <c r="G56" s="1133"/>
      <c r="H56" s="718"/>
      <c r="I56" s="715"/>
    </row>
    <row r="57" spans="2:9" ht="15" customHeight="1">
      <c r="B57" s="1133"/>
      <c r="C57" s="1133"/>
      <c r="D57" s="1133"/>
      <c r="E57" s="1133"/>
      <c r="F57" s="719" t="s">
        <v>298</v>
      </c>
      <c r="G57" s="719" t="s">
        <v>299</v>
      </c>
      <c r="H57" s="718"/>
      <c r="I57" s="777"/>
    </row>
    <row r="58" spans="1:9" ht="20.25" customHeight="1">
      <c r="A58" s="1132" t="s">
        <v>487</v>
      </c>
      <c r="B58" s="706" t="s">
        <v>550</v>
      </c>
      <c r="C58" s="1133"/>
      <c r="D58" s="1133"/>
      <c r="E58" s="1133"/>
      <c r="F58" s="654"/>
      <c r="G58" s="654"/>
      <c r="H58" s="1137">
        <f>IF(I58=0,"RISPOSTA OBBLIGATORIA","")</f>
      </c>
      <c r="I58" s="776">
        <v>1</v>
      </c>
    </row>
    <row r="59" spans="2:8" ht="20.25" customHeight="1">
      <c r="B59" s="706"/>
      <c r="C59" s="768" t="s">
        <v>575</v>
      </c>
      <c r="D59" s="768"/>
      <c r="E59" s="1133"/>
      <c r="F59" s="699"/>
      <c r="G59" s="699"/>
      <c r="H59" s="1137"/>
    </row>
    <row r="60" spans="2:9" ht="43.5" customHeight="1">
      <c r="B60" s="1133">
        <v>22</v>
      </c>
      <c r="C60" s="1306" t="s">
        <v>72</v>
      </c>
      <c r="D60" s="1306"/>
      <c r="E60" s="1307"/>
      <c r="F60" s="769"/>
      <c r="G60" s="769"/>
      <c r="H60" s="1177" t="str">
        <f>IF(I58=1,IF(I60=0,"RISPOSTA OBBLIGATORIA"," "),IF(AND(I58=2,I60&gt;0),"LA RISPOSTA DATA IN QUESTA SEZIONE NON VERRA' CONSIDERATA",IF(I60&gt;0,"RISPONDERE ALLA DOMANDA 21"," ")))</f>
        <v> </v>
      </c>
      <c r="I60" s="776">
        <v>1</v>
      </c>
    </row>
    <row r="61" spans="2:9" ht="46.5" customHeight="1">
      <c r="B61" s="1142">
        <v>23</v>
      </c>
      <c r="C61" s="1292" t="s">
        <v>700</v>
      </c>
      <c r="D61" s="1292"/>
      <c r="E61" s="1292"/>
      <c r="F61" s="1143"/>
      <c r="G61" s="1143"/>
      <c r="H61" s="1177" t="str">
        <f>IF(I58=1,IF(I61=0,"RISPOSTA OBBLIGATORIA"," "),IF(AND(I58=2,I61&gt;0),"LA RISPOSTA DATA IN QUESTA SEZIONE NON VERRA' CONSIDERATA",IF(I61&gt;0,"RISPONDERE ALLA DOMANDA 21"," ")))</f>
        <v> </v>
      </c>
      <c r="I61" s="776">
        <v>1</v>
      </c>
    </row>
    <row r="62" spans="2:8" ht="29.25" customHeight="1">
      <c r="B62" s="1142"/>
      <c r="C62" s="1293" t="s">
        <v>906</v>
      </c>
      <c r="D62" s="1293"/>
      <c r="E62" s="765"/>
      <c r="F62" s="1133"/>
      <c r="G62" s="1133"/>
      <c r="H62" s="733"/>
    </row>
    <row r="63" spans="2:9" ht="42.75" customHeight="1">
      <c r="B63" s="1142">
        <v>24</v>
      </c>
      <c r="C63" s="1292" t="s">
        <v>701</v>
      </c>
      <c r="D63" s="1292"/>
      <c r="E63" s="1292"/>
      <c r="F63" s="1143"/>
      <c r="G63" s="1143"/>
      <c r="H63" s="1177" t="str">
        <f>IF(I58=2,IF(I63=0,"RISPOSTA OBBLIGATORIA"," "),IF(AND(I58=1,I63&gt;0),"LA RISPOSTA DATA IN QUESTA SEZIONE NON VERRA' CONSIDERATA",IF(I63&gt;0,"RISPONDERE ALLA DOMANDA 21"," ")))</f>
        <v> </v>
      </c>
      <c r="I63" s="776">
        <v>0</v>
      </c>
    </row>
    <row r="64" spans="1:9" ht="15">
      <c r="A64" s="1138"/>
      <c r="B64" s="1139"/>
      <c r="C64" s="1139"/>
      <c r="D64" s="1139"/>
      <c r="E64" s="1139"/>
      <c r="F64" s="1139"/>
      <c r="G64" s="1139"/>
      <c r="H64" s="729"/>
      <c r="I64" s="776">
        <f>SUM(I25,I29,I31,I33,I35,I37,I43,I45,SUM(F48,F53,F55),SUM(I58,I60,I61,I63))</f>
        <v>49.11</v>
      </c>
    </row>
  </sheetData>
  <sheetProtection password="EA98" sheet="1" formatColumns="0" selectLockedCells="1"/>
  <mergeCells count="20">
    <mergeCell ref="B25:E25"/>
    <mergeCell ref="B35:E35"/>
    <mergeCell ref="C60:E60"/>
    <mergeCell ref="G53:H53"/>
    <mergeCell ref="G55:H55"/>
    <mergeCell ref="B13:D22"/>
    <mergeCell ref="F13:H22"/>
    <mergeCell ref="B55:E55"/>
    <mergeCell ref="B29:E29"/>
    <mergeCell ref="B31:E31"/>
    <mergeCell ref="B33:E33"/>
    <mergeCell ref="C61:E61"/>
    <mergeCell ref="C62:D62"/>
    <mergeCell ref="C63:E63"/>
    <mergeCell ref="G37:H39"/>
    <mergeCell ref="B43:E43"/>
    <mergeCell ref="B45:E45"/>
    <mergeCell ref="B48:E48"/>
    <mergeCell ref="B53:E53"/>
    <mergeCell ref="G48:H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55 F37:F39 F53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horizontalDpi="600" verticalDpi="600" orientation="portrait" paperSize="9" scale="63" r:id="rId3"/>
  <drawing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6"/>
  <dimension ref="A1:M13"/>
  <sheetViews>
    <sheetView showGridLines="0" zoomScalePageLayoutView="0" workbookViewId="0" topLeftCell="A1">
      <selection activeCell="A2" sqref="A2"/>
    </sheetView>
  </sheetViews>
  <sheetFormatPr defaultColWidth="9.33203125" defaultRowHeight="10.5"/>
  <cols>
    <col min="1" max="1" width="48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370"/>
      <c r="F1" s="373"/>
      <c r="G1" s="373"/>
      <c r="H1" s="373"/>
      <c r="I1" s="373"/>
      <c r="K1" s="3"/>
      <c r="M1"/>
    </row>
    <row r="2" spans="3:13" ht="21" customHeight="1">
      <c r="C2" s="1496"/>
      <c r="D2" s="1496"/>
      <c r="E2" s="1496"/>
      <c r="F2" s="374"/>
      <c r="G2" s="374"/>
      <c r="H2" s="374"/>
      <c r="I2" s="374"/>
      <c r="K2" s="3"/>
      <c r="M2"/>
    </row>
    <row r="3" spans="1:5" ht="31.5" customHeight="1" thickBot="1">
      <c r="A3" s="1504" t="s">
        <v>45</v>
      </c>
      <c r="B3" s="1504"/>
      <c r="C3" s="1504"/>
      <c r="D3" s="1504"/>
      <c r="E3" s="1504"/>
    </row>
    <row r="4" spans="1:5" s="216" customFormat="1" ht="54" customHeight="1">
      <c r="A4" s="644" t="s">
        <v>46</v>
      </c>
      <c r="B4" s="645" t="s">
        <v>47</v>
      </c>
      <c r="C4" s="645" t="s">
        <v>248</v>
      </c>
      <c r="D4" s="646" t="s">
        <v>249</v>
      </c>
      <c r="E4" s="647" t="s">
        <v>48</v>
      </c>
    </row>
    <row r="5" spans="1:5" s="216" customFormat="1" ht="12" thickBot="1">
      <c r="A5" s="648"/>
      <c r="B5" s="649" t="s">
        <v>214</v>
      </c>
      <c r="C5" s="649" t="s">
        <v>215</v>
      </c>
      <c r="D5" s="650"/>
      <c r="E5" s="651"/>
    </row>
    <row r="6" spans="1:5" ht="20.25" customHeight="1">
      <c r="A6" s="624" t="s">
        <v>208</v>
      </c>
      <c r="B6" s="625">
        <f>'t2'!C11+'t2'!D11</f>
        <v>332</v>
      </c>
      <c r="C6" s="626">
        <f>'t14'!C16</f>
        <v>5995146</v>
      </c>
      <c r="D6" s="627" t="str">
        <f aca="true" t="shared" si="0" ref="D6:D11">IF(B6=0,IF(C6=0,"OK","MANCANO LE UNITA'"),IF(C6=0,"MANCANO LE SPESE","OK"))</f>
        <v>OK</v>
      </c>
      <c r="E6" s="223">
        <f aca="true" t="shared" si="1" ref="E6:E11">IF(AND(B6&gt;0,C6&gt;0),C6/B6," ")</f>
        <v>18057.668674698794</v>
      </c>
    </row>
    <row r="7" spans="1:5" ht="20.25" customHeight="1">
      <c r="A7" s="220" t="s">
        <v>209</v>
      </c>
      <c r="B7" s="194">
        <f>'t2'!E11+'t2'!F11</f>
        <v>0</v>
      </c>
      <c r="C7" s="225">
        <f>'t14'!C17</f>
        <v>0</v>
      </c>
      <c r="D7" s="228" t="str">
        <f t="shared" si="0"/>
        <v>OK</v>
      </c>
      <c r="E7" s="224" t="str">
        <f t="shared" si="1"/>
        <v> </v>
      </c>
    </row>
    <row r="8" spans="1:5" ht="20.25" customHeight="1">
      <c r="A8" s="220" t="s">
        <v>44</v>
      </c>
      <c r="B8" s="194">
        <f>'t2'!G11+'t2'!H11</f>
        <v>0</v>
      </c>
      <c r="C8" s="225">
        <f>'t14'!C22</f>
        <v>0</v>
      </c>
      <c r="D8" s="228" t="str">
        <f t="shared" si="0"/>
        <v>OK</v>
      </c>
      <c r="E8" s="224" t="str">
        <f t="shared" si="1"/>
        <v> </v>
      </c>
    </row>
    <row r="9" spans="1:5" ht="20.25" customHeight="1">
      <c r="A9" s="220" t="s">
        <v>210</v>
      </c>
      <c r="B9" s="194">
        <f>'t2'!I11+'t2'!J11</f>
        <v>9</v>
      </c>
      <c r="C9" s="225">
        <f>'t14'!C23</f>
        <v>71161</v>
      </c>
      <c r="D9" s="228" t="str">
        <f t="shared" si="0"/>
        <v>OK</v>
      </c>
      <c r="E9" s="224">
        <f t="shared" si="1"/>
        <v>7906.777777777777</v>
      </c>
    </row>
    <row r="10" spans="1:5" ht="20.25" customHeight="1">
      <c r="A10" s="220" t="s">
        <v>28</v>
      </c>
      <c r="B10" s="194">
        <f>SI_1!G51</f>
        <v>0</v>
      </c>
      <c r="C10" s="225">
        <f>'t14'!C12</f>
        <v>0</v>
      </c>
      <c r="D10" s="228" t="str">
        <f t="shared" si="0"/>
        <v>OK</v>
      </c>
      <c r="E10" s="224" t="str">
        <f t="shared" si="1"/>
        <v> </v>
      </c>
    </row>
    <row r="11" spans="1:5" ht="20.25" customHeight="1" thickBot="1">
      <c r="A11" s="221" t="s">
        <v>899</v>
      </c>
      <c r="B11" s="222">
        <f>SI_1!G54</f>
        <v>0</v>
      </c>
      <c r="C11" s="226">
        <f>'t14'!C13</f>
        <v>0</v>
      </c>
      <c r="D11" s="229" t="str">
        <f t="shared" si="0"/>
        <v>OK</v>
      </c>
      <c r="E11" s="628" t="str">
        <f t="shared" si="1"/>
        <v> </v>
      </c>
    </row>
    <row r="12" ht="12" thickBot="1"/>
    <row r="13" spans="1:5" ht="20.25" customHeight="1" thickBot="1">
      <c r="A13" s="1227" t="s">
        <v>900</v>
      </c>
      <c r="B13" s="1231">
        <f>SI_1!G57</f>
        <v>0</v>
      </c>
      <c r="C13" s="1228">
        <f>'t14'!C14</f>
        <v>0</v>
      </c>
      <c r="D13" s="1229" t="str">
        <f>IF(B13=0,IF(C13=0,"OK","MANCANO LE UNITA'"),IF(C13=0,"MANCANO LE SPESE","OK"))</f>
        <v>OK</v>
      </c>
      <c r="E13" s="1230" t="str">
        <f>IF(AND(B13&gt;0,C13&gt;0),C13/B13," ")</f>
        <v> </v>
      </c>
    </row>
  </sheetData>
  <sheetProtection password="EA98" sheet="1" formatColumns="0" selectLockedCells="1" selectUnlockedCells="1"/>
  <mergeCells count="3">
    <mergeCell ref="A3:E3"/>
    <mergeCell ref="A1:D1"/>
    <mergeCell ref="C2:E2"/>
  </mergeCell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27">
    <pageSetUpPr fitToPage="1"/>
  </sheetPr>
  <dimension ref="A1:M48"/>
  <sheetViews>
    <sheetView showGridLines="0" zoomScalePageLayoutView="0" workbookViewId="0" topLeftCell="A1">
      <pane ySplit="5" topLeftCell="A27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16" customWidth="1"/>
    <col min="9" max="9" width="18.33203125" style="116" customWidth="1"/>
    <col min="10" max="10" width="9.33203125" style="116" customWidth="1"/>
  </cols>
  <sheetData>
    <row r="1" spans="1:13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370"/>
      <c r="K1" s="3"/>
      <c r="M1"/>
    </row>
    <row r="2" spans="4:13" s="5" customFormat="1" ht="21" customHeight="1">
      <c r="D2" s="1496"/>
      <c r="E2" s="1496"/>
      <c r="F2" s="1496"/>
      <c r="G2" s="1496"/>
      <c r="H2" s="1496"/>
      <c r="I2" s="1496"/>
      <c r="J2" s="374"/>
      <c r="K2" s="3"/>
      <c r="M2"/>
    </row>
    <row r="3" spans="1:6" s="5" customFormat="1" ht="21" customHeight="1">
      <c r="A3" s="215" t="s">
        <v>281</v>
      </c>
      <c r="B3" s="7"/>
      <c r="F3" s="7"/>
    </row>
    <row r="4" spans="1:9" ht="56.25">
      <c r="A4" s="200" t="s">
        <v>250</v>
      </c>
      <c r="B4" s="202" t="s">
        <v>212</v>
      </c>
      <c r="C4" s="201" t="s">
        <v>251</v>
      </c>
      <c r="D4" s="201" t="s">
        <v>255</v>
      </c>
      <c r="E4" s="201" t="s">
        <v>257</v>
      </c>
      <c r="F4" s="201" t="s">
        <v>258</v>
      </c>
      <c r="G4" s="201" t="s">
        <v>211</v>
      </c>
      <c r="H4" s="201" t="s">
        <v>259</v>
      </c>
      <c r="I4" s="201" t="s">
        <v>260</v>
      </c>
    </row>
    <row r="5" spans="1:10" s="219" customFormat="1" ht="10.5">
      <c r="A5" s="199"/>
      <c r="B5" s="213"/>
      <c r="C5" s="217" t="s">
        <v>214</v>
      </c>
      <c r="D5" s="217" t="s">
        <v>215</v>
      </c>
      <c r="E5" s="217" t="s">
        <v>252</v>
      </c>
      <c r="F5" s="217" t="s">
        <v>217</v>
      </c>
      <c r="G5" s="217" t="s">
        <v>253</v>
      </c>
      <c r="H5" s="217" t="s">
        <v>254</v>
      </c>
      <c r="I5" s="217" t="s">
        <v>256</v>
      </c>
      <c r="J5" s="218"/>
    </row>
    <row r="6" spans="1:9" ht="12.75">
      <c r="A6" s="147" t="str">
        <f>'t1'!A6</f>
        <v>SEGRETARIO A</v>
      </c>
      <c r="B6" s="377" t="str">
        <f>'t1'!B6</f>
        <v>0D0102</v>
      </c>
      <c r="C6" s="402">
        <f>'t12'!C6</f>
        <v>12</v>
      </c>
      <c r="D6" s="403">
        <f>'t12'!D6</f>
        <v>32262</v>
      </c>
      <c r="E6" s="404">
        <f>IF(C6=0," ",D6/C6*12)</f>
        <v>32262</v>
      </c>
      <c r="F6" s="429">
        <v>32261.49</v>
      </c>
      <c r="G6" s="404">
        <f aca="true" t="shared" si="0" ref="G6:G48">IF(E6=" "," ",E6-F6)</f>
        <v>0.5099999999983993</v>
      </c>
      <c r="H6" s="405">
        <f aca="true" t="shared" si="1" ref="H6:H48">IF(E6=" "," ",IF(F6=0," ",G6/F6))</f>
        <v>1.580832131431001E-05</v>
      </c>
      <c r="I6" s="383" t="str">
        <f aca="true" t="shared" si="2" ref="I6:I48">IF(E6=" "," ",IF(F6=0," ",IF(ABS(H6)&gt;0.05,"ERRORE","OK")))</f>
        <v>OK</v>
      </c>
    </row>
    <row r="7" spans="1:9" ht="12.75">
      <c r="A7" s="147" t="str">
        <f>'t1'!A7</f>
        <v>SEGRETARIO B</v>
      </c>
      <c r="B7" s="377" t="str">
        <f>'t1'!B7</f>
        <v>0D0103</v>
      </c>
      <c r="C7" s="402">
        <f>'t12'!C7</f>
        <v>0</v>
      </c>
      <c r="D7" s="403">
        <f>'t12'!D7</f>
        <v>0</v>
      </c>
      <c r="E7" s="404" t="str">
        <f aca="true" t="shared" si="3" ref="E7:E40">IF(C7=0," ",D7/C7*12)</f>
        <v> </v>
      </c>
      <c r="F7" s="429">
        <v>32261.49</v>
      </c>
      <c r="G7" s="404" t="str">
        <f t="shared" si="0"/>
        <v> </v>
      </c>
      <c r="H7" s="405" t="str">
        <f t="shared" si="1"/>
        <v> </v>
      </c>
      <c r="I7" s="383" t="str">
        <f t="shared" si="2"/>
        <v> </v>
      </c>
    </row>
    <row r="8" spans="1:9" ht="12.75">
      <c r="A8" s="147" t="str">
        <f>'t1'!A8</f>
        <v>SEGRETARIO C</v>
      </c>
      <c r="B8" s="377" t="str">
        <f>'t1'!B8</f>
        <v>0D0485</v>
      </c>
      <c r="C8" s="402">
        <f>'t12'!C8</f>
        <v>0</v>
      </c>
      <c r="D8" s="403">
        <f>'t12'!D8</f>
        <v>0</v>
      </c>
      <c r="E8" s="404" t="str">
        <f t="shared" si="3"/>
        <v> </v>
      </c>
      <c r="F8" s="429">
        <v>26163.53</v>
      </c>
      <c r="G8" s="404" t="str">
        <f t="shared" si="0"/>
        <v> </v>
      </c>
      <c r="H8" s="405" t="str">
        <f t="shared" si="1"/>
        <v> </v>
      </c>
      <c r="I8" s="383" t="str">
        <f t="shared" si="2"/>
        <v> </v>
      </c>
    </row>
    <row r="9" spans="1:9" ht="12.75">
      <c r="A9" s="147" t="str">
        <f>'t1'!A9</f>
        <v>SEGRETARIO GENERALE CCIAA</v>
      </c>
      <c r="B9" s="377" t="str">
        <f>'t1'!B9</f>
        <v>0D0104</v>
      </c>
      <c r="C9" s="402">
        <f>'t12'!C9</f>
        <v>0</v>
      </c>
      <c r="D9" s="403">
        <f>'t12'!D9</f>
        <v>0</v>
      </c>
      <c r="E9" s="404" t="str">
        <f t="shared" si="3"/>
        <v> </v>
      </c>
      <c r="F9" s="429"/>
      <c r="G9" s="404" t="str">
        <f t="shared" si="0"/>
        <v> </v>
      </c>
      <c r="H9" s="405" t="str">
        <f t="shared" si="1"/>
        <v> </v>
      </c>
      <c r="I9" s="383" t="str">
        <f t="shared" si="2"/>
        <v> </v>
      </c>
    </row>
    <row r="10" spans="1:9" ht="12.75">
      <c r="A10" s="147" t="str">
        <f>'t1'!A10</f>
        <v>DIRETTORE  GENERALE</v>
      </c>
      <c r="B10" s="377" t="str">
        <f>'t1'!B10</f>
        <v>0D0097</v>
      </c>
      <c r="C10" s="402">
        <f>'t12'!C10</f>
        <v>0</v>
      </c>
      <c r="D10" s="403">
        <f>'t12'!D10</f>
        <v>0</v>
      </c>
      <c r="E10" s="404" t="str">
        <f t="shared" si="3"/>
        <v> </v>
      </c>
      <c r="F10" s="429"/>
      <c r="G10" s="404" t="str">
        <f t="shared" si="0"/>
        <v> </v>
      </c>
      <c r="H10" s="405" t="str">
        <f t="shared" si="1"/>
        <v> </v>
      </c>
      <c r="I10" s="383" t="str">
        <f t="shared" si="2"/>
        <v> </v>
      </c>
    </row>
    <row r="11" spans="1:9" ht="12.75">
      <c r="A11" s="147" t="str">
        <f>'t1'!A11</f>
        <v>DIRIGENTE FUORI D.O.</v>
      </c>
      <c r="B11" s="377" t="str">
        <f>'t1'!B11</f>
        <v>0D0098</v>
      </c>
      <c r="C11" s="402">
        <f>'t12'!C11</f>
        <v>0</v>
      </c>
      <c r="D11" s="403">
        <f>'t12'!D11</f>
        <v>0</v>
      </c>
      <c r="E11" s="404" t="str">
        <f t="shared" si="3"/>
        <v> </v>
      </c>
      <c r="F11" s="429"/>
      <c r="G11" s="404" t="str">
        <f t="shared" si="0"/>
        <v> </v>
      </c>
      <c r="H11" s="405" t="str">
        <f t="shared" si="1"/>
        <v> </v>
      </c>
      <c r="I11" s="383" t="str">
        <f t="shared" si="2"/>
        <v> </v>
      </c>
    </row>
    <row r="12" spans="1:9" ht="12.75">
      <c r="A12" s="147" t="str">
        <f>'t1'!A12</f>
        <v>ALTE SPECIALIZZ. FUORI D.O.</v>
      </c>
      <c r="B12" s="377" t="str">
        <f>'t1'!B12</f>
        <v>0D0095</v>
      </c>
      <c r="C12" s="402">
        <f>'t12'!C12</f>
        <v>0</v>
      </c>
      <c r="D12" s="403">
        <f>'t12'!D12</f>
        <v>0</v>
      </c>
      <c r="E12" s="404" t="str">
        <f t="shared" si="3"/>
        <v> </v>
      </c>
      <c r="F12" s="429"/>
      <c r="G12" s="404" t="str">
        <f t="shared" si="0"/>
        <v> </v>
      </c>
      <c r="H12" s="405" t="str">
        <f t="shared" si="1"/>
        <v> </v>
      </c>
      <c r="I12" s="383" t="str">
        <f t="shared" si="2"/>
        <v> </v>
      </c>
    </row>
    <row r="13" spans="1:9" ht="12.75">
      <c r="A13" s="147" t="str">
        <f>'t1'!A13</f>
        <v>QUALIFICA DIRIGENZIALE TEMPO INDET.</v>
      </c>
      <c r="B13" s="377" t="str">
        <f>'t1'!B13</f>
        <v>0D0100</v>
      </c>
      <c r="C13" s="402">
        <f>'t12'!C13</f>
        <v>12</v>
      </c>
      <c r="D13" s="403">
        <f>'t12'!D13</f>
        <v>37846</v>
      </c>
      <c r="E13" s="404">
        <f t="shared" si="3"/>
        <v>37846</v>
      </c>
      <c r="F13" s="429">
        <v>37043.04</v>
      </c>
      <c r="G13" s="404">
        <f t="shared" si="0"/>
        <v>802.9599999999991</v>
      </c>
      <c r="H13" s="405">
        <f t="shared" si="1"/>
        <v>0.021676406688003986</v>
      </c>
      <c r="I13" s="383" t="str">
        <f t="shared" si="2"/>
        <v>OK</v>
      </c>
    </row>
    <row r="14" spans="1:9" ht="12.75">
      <c r="A14" s="147" t="str">
        <f>'t1'!A14</f>
        <v>QUALIFICA DIRIGENZIALE TEMPO DETER.</v>
      </c>
      <c r="B14" s="377" t="str">
        <f>'t1'!B14</f>
        <v>0D0099</v>
      </c>
      <c r="C14" s="402">
        <f>'t12'!C14</f>
        <v>24.71</v>
      </c>
      <c r="D14" s="403">
        <f>'t12'!D14</f>
        <v>76223</v>
      </c>
      <c r="E14" s="404">
        <f t="shared" si="3"/>
        <v>37016.43059490085</v>
      </c>
      <c r="F14" s="429">
        <v>37043.04</v>
      </c>
      <c r="G14" s="404">
        <f t="shared" si="0"/>
        <v>-26.609405099152355</v>
      </c>
      <c r="H14" s="405">
        <f t="shared" si="1"/>
        <v>-0.0007183375095335683</v>
      </c>
      <c r="I14" s="383" t="str">
        <f t="shared" si="2"/>
        <v>OK</v>
      </c>
    </row>
    <row r="15" spans="1:9" ht="12.75">
      <c r="A15" s="147" t="str">
        <f>'t1'!A15</f>
        <v>POSIZ. ECON. D6 - PROFILI ACCESSO D3</v>
      </c>
      <c r="B15" s="377" t="str">
        <f>'t1'!B15</f>
        <v>0D6A00</v>
      </c>
      <c r="C15" s="402">
        <f>'t12'!C15</f>
        <v>108</v>
      </c>
      <c r="D15" s="403">
        <f>'t12'!D15</f>
        <v>253940</v>
      </c>
      <c r="E15" s="404">
        <f t="shared" si="3"/>
        <v>28215.555555555555</v>
      </c>
      <c r="F15" s="429">
        <v>28342.72</v>
      </c>
      <c r="G15" s="404">
        <f t="shared" si="0"/>
        <v>-127.16444444444642</v>
      </c>
      <c r="H15" s="405">
        <f t="shared" si="1"/>
        <v>-0.0044866704552155336</v>
      </c>
      <c r="I15" s="383" t="str">
        <f t="shared" si="2"/>
        <v>OK</v>
      </c>
    </row>
    <row r="16" spans="1:9" ht="12.75">
      <c r="A16" s="147" t="str">
        <f>'t1'!A16</f>
        <v>POSIZ. ECON. D6 - PROFILO ACCESSO D1</v>
      </c>
      <c r="B16" s="377" t="str">
        <f>'t1'!B16</f>
        <v>0D6000</v>
      </c>
      <c r="C16" s="402">
        <f>'t12'!C16</f>
        <v>0</v>
      </c>
      <c r="D16" s="403">
        <f>'t12'!D16</f>
        <v>0</v>
      </c>
      <c r="E16" s="404" t="str">
        <f t="shared" si="3"/>
        <v> </v>
      </c>
      <c r="F16" s="429">
        <v>28342.72</v>
      </c>
      <c r="G16" s="404" t="str">
        <f t="shared" si="0"/>
        <v> </v>
      </c>
      <c r="H16" s="405" t="str">
        <f t="shared" si="1"/>
        <v> </v>
      </c>
      <c r="I16" s="383" t="str">
        <f t="shared" si="2"/>
        <v> </v>
      </c>
    </row>
    <row r="17" spans="1:9" ht="12.75">
      <c r="A17" s="147" t="str">
        <f>'t1'!A17</f>
        <v>POSIZ.ECON. D5 PROFILI ACCESSO D3</v>
      </c>
      <c r="B17" s="377" t="str">
        <f>'t1'!B17</f>
        <v>052486</v>
      </c>
      <c r="C17" s="402">
        <f>'t12'!C17</f>
        <v>156</v>
      </c>
      <c r="D17" s="403">
        <f>'t12'!D17</f>
        <v>345625</v>
      </c>
      <c r="E17" s="404">
        <f t="shared" si="3"/>
        <v>26586.53846153846</v>
      </c>
      <c r="F17" s="429">
        <v>26510.86</v>
      </c>
      <c r="G17" s="404">
        <f t="shared" si="0"/>
        <v>75.6784615384604</v>
      </c>
      <c r="H17" s="405">
        <f t="shared" si="1"/>
        <v>0.0028546211453894894</v>
      </c>
      <c r="I17" s="383" t="str">
        <f t="shared" si="2"/>
        <v>OK</v>
      </c>
    </row>
    <row r="18" spans="1:9" ht="12.75">
      <c r="A18" s="147" t="str">
        <f>'t1'!A18</f>
        <v>POSIZ.ECON. D5 PROFILI ACCESSO D1</v>
      </c>
      <c r="B18" s="377" t="str">
        <f>'t1'!B18</f>
        <v>052487</v>
      </c>
      <c r="C18" s="402">
        <f>'t12'!C18</f>
        <v>12</v>
      </c>
      <c r="D18" s="403">
        <f>'t12'!D18</f>
        <v>26740</v>
      </c>
      <c r="E18" s="404">
        <f t="shared" si="3"/>
        <v>26740</v>
      </c>
      <c r="F18" s="429">
        <v>26510.86</v>
      </c>
      <c r="G18" s="404">
        <f t="shared" si="0"/>
        <v>229.13999999999942</v>
      </c>
      <c r="H18" s="405">
        <f t="shared" si="1"/>
        <v>0.008643250350988214</v>
      </c>
      <c r="I18" s="383" t="str">
        <f t="shared" si="2"/>
        <v>OK</v>
      </c>
    </row>
    <row r="19" spans="1:9" ht="12.75">
      <c r="A19" s="147" t="str">
        <f>'t1'!A19</f>
        <v>POSIZ.ECON. D4 PROFILI ACCESSO D3</v>
      </c>
      <c r="B19" s="377" t="str">
        <f>'t1'!B19</f>
        <v>051488</v>
      </c>
      <c r="C19" s="402">
        <f>'t12'!C19</f>
        <v>200</v>
      </c>
      <c r="D19" s="403">
        <f>'t12'!D19</f>
        <v>419148</v>
      </c>
      <c r="E19" s="404">
        <f t="shared" si="3"/>
        <v>25148.879999999997</v>
      </c>
      <c r="F19" s="429">
        <v>25377.76</v>
      </c>
      <c r="G19" s="404">
        <f t="shared" si="0"/>
        <v>-228.88000000000102</v>
      </c>
      <c r="H19" s="405">
        <f t="shared" si="1"/>
        <v>-0.009018920503622109</v>
      </c>
      <c r="I19" s="383" t="str">
        <f t="shared" si="2"/>
        <v>OK</v>
      </c>
    </row>
    <row r="20" spans="1:9" ht="12.75">
      <c r="A20" s="147" t="str">
        <f>'t1'!A20</f>
        <v>POSIZ.ECON. D4 PROFILI ACCESSO D1</v>
      </c>
      <c r="B20" s="377" t="str">
        <f>'t1'!B20</f>
        <v>051489</v>
      </c>
      <c r="C20" s="402">
        <f>'t12'!C20</f>
        <v>36</v>
      </c>
      <c r="D20" s="403">
        <f>'t12'!D20</f>
        <v>75523</v>
      </c>
      <c r="E20" s="404">
        <f t="shared" si="3"/>
        <v>25174.333333333336</v>
      </c>
      <c r="F20" s="429">
        <v>25377.76</v>
      </c>
      <c r="G20" s="404">
        <f t="shared" si="0"/>
        <v>-203.42666666666264</v>
      </c>
      <c r="H20" s="405">
        <f t="shared" si="1"/>
        <v>-0.008015942568085703</v>
      </c>
      <c r="I20" s="383" t="str">
        <f t="shared" si="2"/>
        <v>OK</v>
      </c>
    </row>
    <row r="21" spans="1:9" ht="12.75">
      <c r="A21" s="147" t="str">
        <f>'t1'!A21</f>
        <v>POSIZIONE ECONOMICA DI ACCESSO D3</v>
      </c>
      <c r="B21" s="377" t="str">
        <f>'t1'!B21</f>
        <v>058000</v>
      </c>
      <c r="C21" s="402">
        <f>'t12'!C21</f>
        <v>36</v>
      </c>
      <c r="D21" s="403">
        <f>'t12'!D21</f>
        <v>72216</v>
      </c>
      <c r="E21" s="404">
        <f t="shared" si="3"/>
        <v>24072</v>
      </c>
      <c r="F21" s="429">
        <v>24338.14</v>
      </c>
      <c r="G21" s="404">
        <f t="shared" si="0"/>
        <v>-266.1399999999994</v>
      </c>
      <c r="H21" s="405">
        <f t="shared" si="1"/>
        <v>-0.01093510021718995</v>
      </c>
      <c r="I21" s="383" t="str">
        <f t="shared" si="2"/>
        <v>OK</v>
      </c>
    </row>
    <row r="22" spans="1:9" ht="12.75">
      <c r="A22" s="147" t="str">
        <f>'t1'!A22</f>
        <v>POSIZIONE ECONOMICA D3</v>
      </c>
      <c r="B22" s="377" t="str">
        <f>'t1'!B22</f>
        <v>050000</v>
      </c>
      <c r="C22" s="402">
        <f>'t12'!C22</f>
        <v>144</v>
      </c>
      <c r="D22" s="403">
        <f>'t12'!D22</f>
        <v>291271</v>
      </c>
      <c r="E22" s="404">
        <f t="shared" si="3"/>
        <v>24272.583333333336</v>
      </c>
      <c r="F22" s="429">
        <v>24338.14</v>
      </c>
      <c r="G22" s="404">
        <f t="shared" si="0"/>
        <v>-65.55666666666366</v>
      </c>
      <c r="H22" s="405">
        <f t="shared" si="1"/>
        <v>-0.002693577515235908</v>
      </c>
      <c r="I22" s="383" t="str">
        <f t="shared" si="2"/>
        <v>OK</v>
      </c>
    </row>
    <row r="23" spans="1:9" ht="12.75">
      <c r="A23" s="147" t="str">
        <f>'t1'!A23</f>
        <v>POSIZIONE ECONOMICA D2</v>
      </c>
      <c r="B23" s="377" t="str">
        <f>'t1'!B23</f>
        <v>049000</v>
      </c>
      <c r="C23" s="402">
        <f>'t12'!C23</f>
        <v>480</v>
      </c>
      <c r="D23" s="403">
        <f>'t12'!D23</f>
        <v>888474</v>
      </c>
      <c r="E23" s="404">
        <f t="shared" si="3"/>
        <v>22211.85</v>
      </c>
      <c r="F23" s="429">
        <v>22203.89</v>
      </c>
      <c r="G23" s="404">
        <f t="shared" si="0"/>
        <v>7.959999999999127</v>
      </c>
      <c r="H23" s="405">
        <f t="shared" si="1"/>
        <v>0.00035849574106154943</v>
      </c>
      <c r="I23" s="383" t="str">
        <f t="shared" si="2"/>
        <v>OK</v>
      </c>
    </row>
    <row r="24" spans="1:9" ht="12.75">
      <c r="A24" s="147" t="str">
        <f>'t1'!A24</f>
        <v>POSIZIONE ECONOMICA DI ACCESSO D1</v>
      </c>
      <c r="B24" s="377" t="str">
        <f>'t1'!B24</f>
        <v>057000</v>
      </c>
      <c r="C24" s="402">
        <f>'t12'!C24</f>
        <v>36</v>
      </c>
      <c r="D24" s="403">
        <f>'t12'!D24</f>
        <v>62971</v>
      </c>
      <c r="E24" s="404">
        <f t="shared" si="3"/>
        <v>20990.333333333332</v>
      </c>
      <c r="F24" s="429">
        <v>21166.71</v>
      </c>
      <c r="G24" s="404">
        <f t="shared" si="0"/>
        <v>-176.376666666667</v>
      </c>
      <c r="H24" s="405">
        <f t="shared" si="1"/>
        <v>-0.008332738846361433</v>
      </c>
      <c r="I24" s="383" t="str">
        <f t="shared" si="2"/>
        <v>OK</v>
      </c>
    </row>
    <row r="25" spans="1:9" ht="12.75">
      <c r="A25" s="147" t="str">
        <f>'t1'!A25</f>
        <v>POSIZIONE ECONOMICA C5</v>
      </c>
      <c r="B25" s="377" t="str">
        <f>'t1'!B25</f>
        <v>046000</v>
      </c>
      <c r="C25" s="402">
        <f>'t12'!C25</f>
        <v>50.27</v>
      </c>
      <c r="D25" s="403">
        <f>'t12'!D25</f>
        <v>90209</v>
      </c>
      <c r="E25" s="404">
        <f t="shared" si="3"/>
        <v>21533.87706385518</v>
      </c>
      <c r="F25" s="429">
        <v>21901.32</v>
      </c>
      <c r="G25" s="404">
        <f t="shared" si="0"/>
        <v>-367.4429361448201</v>
      </c>
      <c r="H25" s="405">
        <f t="shared" si="1"/>
        <v>-0.016777205033524013</v>
      </c>
      <c r="I25" s="383" t="str">
        <f t="shared" si="2"/>
        <v>OK</v>
      </c>
    </row>
    <row r="26" spans="1:9" ht="12.75">
      <c r="A26" s="147" t="str">
        <f>'t1'!A26</f>
        <v>POSIZIONE ECONOMICA C4</v>
      </c>
      <c r="B26" s="377" t="str">
        <f>'t1'!B26</f>
        <v>045000</v>
      </c>
      <c r="C26" s="402">
        <f>'t12'!C26</f>
        <v>241</v>
      </c>
      <c r="D26" s="403">
        <f>'t12'!D26</f>
        <v>418234</v>
      </c>
      <c r="E26" s="404">
        <f t="shared" si="3"/>
        <v>20824.929460580912</v>
      </c>
      <c r="F26" s="429">
        <v>21120.11</v>
      </c>
      <c r="G26" s="404">
        <f t="shared" si="0"/>
        <v>-295.18053941908875</v>
      </c>
      <c r="H26" s="405">
        <f t="shared" si="1"/>
        <v>-0.013976278505135093</v>
      </c>
      <c r="I26" s="383" t="str">
        <f t="shared" si="2"/>
        <v>OK</v>
      </c>
    </row>
    <row r="27" spans="1:9" ht="12.75">
      <c r="A27" s="147" t="str">
        <f>'t1'!A27</f>
        <v>POSIZIONE ECONOMICA C3</v>
      </c>
      <c r="B27" s="377" t="str">
        <f>'t1'!B27</f>
        <v>043000</v>
      </c>
      <c r="C27" s="402">
        <f>'t12'!C27</f>
        <v>372</v>
      </c>
      <c r="D27" s="403">
        <f>'t12'!D27</f>
        <v>628451</v>
      </c>
      <c r="E27" s="404">
        <f t="shared" si="3"/>
        <v>20272.612903225807</v>
      </c>
      <c r="F27" s="429">
        <v>20472.62</v>
      </c>
      <c r="G27" s="404">
        <f t="shared" si="0"/>
        <v>-200.00709677419218</v>
      </c>
      <c r="H27" s="405">
        <f t="shared" si="1"/>
        <v>-0.00976949197387497</v>
      </c>
      <c r="I27" s="383" t="str">
        <f t="shared" si="2"/>
        <v>OK</v>
      </c>
    </row>
    <row r="28" spans="1:9" ht="12.75">
      <c r="A28" s="147" t="str">
        <f>'t1'!A28</f>
        <v>POSIZIONE ECONOMICA C2</v>
      </c>
      <c r="B28" s="377" t="str">
        <f>'t1'!B28</f>
        <v>042000</v>
      </c>
      <c r="C28" s="402">
        <f>'t12'!C28</f>
        <v>467</v>
      </c>
      <c r="D28" s="403">
        <f>'t12'!D28</f>
        <v>762931</v>
      </c>
      <c r="E28" s="404">
        <f t="shared" si="3"/>
        <v>19604.222698072805</v>
      </c>
      <c r="F28" s="429">
        <v>19917.86</v>
      </c>
      <c r="G28" s="404">
        <f t="shared" si="0"/>
        <v>-313.63730192719595</v>
      </c>
      <c r="H28" s="405">
        <f t="shared" si="1"/>
        <v>-0.01574653612020548</v>
      </c>
      <c r="I28" s="383" t="str">
        <f t="shared" si="2"/>
        <v>OK</v>
      </c>
    </row>
    <row r="29" spans="1:9" ht="12.75">
      <c r="A29" s="147" t="str">
        <f>'t1'!A29</f>
        <v>POSIZIONE ECONOMICA DI ACCESSO C1</v>
      </c>
      <c r="B29" s="377" t="str">
        <f>'t1'!B29</f>
        <v>056000</v>
      </c>
      <c r="C29" s="402">
        <f>'t12'!C29</f>
        <v>9</v>
      </c>
      <c r="D29" s="403">
        <f>'t12'!D29</f>
        <v>14551</v>
      </c>
      <c r="E29" s="404">
        <f t="shared" si="3"/>
        <v>19401.333333333336</v>
      </c>
      <c r="F29" s="429">
        <v>19454.15</v>
      </c>
      <c r="G29" s="404">
        <f t="shared" si="0"/>
        <v>-52.8166666666657</v>
      </c>
      <c r="H29" s="405">
        <f t="shared" si="1"/>
        <v>-0.0027149305760809745</v>
      </c>
      <c r="I29" s="383" t="str">
        <f t="shared" si="2"/>
        <v>OK</v>
      </c>
    </row>
    <row r="30" spans="1:9" ht="12.75">
      <c r="A30" s="147" t="str">
        <f>'t1'!A30</f>
        <v>POSIZ. ECON. B7 - PROFILO ACCESSO B3</v>
      </c>
      <c r="B30" s="377" t="str">
        <f>'t1'!B30</f>
        <v>0B7A00</v>
      </c>
      <c r="C30" s="402">
        <f>'t12'!C30</f>
        <v>0</v>
      </c>
      <c r="D30" s="403">
        <f>'t12'!D30</f>
        <v>0</v>
      </c>
      <c r="E30" s="404" t="str">
        <f t="shared" si="3"/>
        <v> </v>
      </c>
      <c r="F30" s="429">
        <v>19878.4</v>
      </c>
      <c r="G30" s="404" t="str">
        <f t="shared" si="0"/>
        <v> </v>
      </c>
      <c r="H30" s="405" t="str">
        <f t="shared" si="1"/>
        <v> </v>
      </c>
      <c r="I30" s="383" t="str">
        <f t="shared" si="2"/>
        <v> </v>
      </c>
    </row>
    <row r="31" spans="1:9" ht="12.75">
      <c r="A31" s="147" t="str">
        <f>'t1'!A31</f>
        <v>POSIZ. ECON. B7 - PROFILO  ACCESSO B1</v>
      </c>
      <c r="B31" s="377" t="str">
        <f>'t1'!B31</f>
        <v>0B7000</v>
      </c>
      <c r="C31" s="402">
        <f>'t12'!C31</f>
        <v>0</v>
      </c>
      <c r="D31" s="403">
        <f>'t12'!D31</f>
        <v>0</v>
      </c>
      <c r="E31" s="404" t="str">
        <f t="shared" si="3"/>
        <v> </v>
      </c>
      <c r="F31" s="429">
        <v>19878.4</v>
      </c>
      <c r="G31" s="404" t="str">
        <f t="shared" si="0"/>
        <v> </v>
      </c>
      <c r="H31" s="405" t="str">
        <f t="shared" si="1"/>
        <v> </v>
      </c>
      <c r="I31" s="383" t="str">
        <f t="shared" si="2"/>
        <v> </v>
      </c>
    </row>
    <row r="32" spans="1:9" ht="12.75">
      <c r="A32" s="147" t="str">
        <f>'t1'!A32</f>
        <v>POSIZ.ECON. B6 PROFILI ACCESSO B3</v>
      </c>
      <c r="B32" s="377" t="str">
        <f>'t1'!B32</f>
        <v>038490</v>
      </c>
      <c r="C32" s="402">
        <f>'t12'!C32</f>
        <v>0</v>
      </c>
      <c r="D32" s="403">
        <f>'t12'!D32</f>
        <v>0</v>
      </c>
      <c r="E32" s="404" t="str">
        <f t="shared" si="3"/>
        <v> </v>
      </c>
      <c r="F32" s="429">
        <v>19143.58</v>
      </c>
      <c r="G32" s="404" t="str">
        <f t="shared" si="0"/>
        <v> </v>
      </c>
      <c r="H32" s="405" t="str">
        <f t="shared" si="1"/>
        <v> </v>
      </c>
      <c r="I32" s="383" t="str">
        <f t="shared" si="2"/>
        <v> </v>
      </c>
    </row>
    <row r="33" spans="1:9" ht="12.75">
      <c r="A33" s="147" t="str">
        <f>'t1'!A33</f>
        <v>POSIZ.ECON. B6 PROFILI ACCESSO B1</v>
      </c>
      <c r="B33" s="377" t="str">
        <f>'t1'!B33</f>
        <v>038491</v>
      </c>
      <c r="C33" s="402">
        <f>'t12'!C33</f>
        <v>0</v>
      </c>
      <c r="D33" s="403">
        <f>'t12'!D33</f>
        <v>0</v>
      </c>
      <c r="E33" s="404" t="str">
        <f t="shared" si="3"/>
        <v> </v>
      </c>
      <c r="F33" s="429">
        <v>19143.58</v>
      </c>
      <c r="G33" s="404" t="str">
        <f t="shared" si="0"/>
        <v> </v>
      </c>
      <c r="H33" s="405" t="str">
        <f t="shared" si="1"/>
        <v> </v>
      </c>
      <c r="I33" s="383" t="str">
        <f t="shared" si="2"/>
        <v> </v>
      </c>
    </row>
    <row r="34" spans="1:9" ht="12.75">
      <c r="A34" s="147" t="str">
        <f>'t1'!A34</f>
        <v>POSIZ.ECON. B5 PROFILI ACCESSO B3</v>
      </c>
      <c r="B34" s="377" t="str">
        <f>'t1'!B34</f>
        <v>037492</v>
      </c>
      <c r="C34" s="402">
        <f>'t12'!C34</f>
        <v>1</v>
      </c>
      <c r="D34" s="403">
        <f>'t12'!D34</f>
        <v>1567</v>
      </c>
      <c r="E34" s="404">
        <f t="shared" si="3"/>
        <v>18804</v>
      </c>
      <c r="F34" s="429">
        <v>18808.79</v>
      </c>
      <c r="G34" s="404">
        <f t="shared" si="0"/>
        <v>-4.790000000000873</v>
      </c>
      <c r="H34" s="405">
        <f t="shared" si="1"/>
        <v>-0.0002546681631301574</v>
      </c>
      <c r="I34" s="383" t="str">
        <f t="shared" si="2"/>
        <v>OK</v>
      </c>
    </row>
    <row r="35" spans="1:9" ht="12.75">
      <c r="A35" s="147" t="str">
        <f>'t1'!A35</f>
        <v>POSIZ.ECON. B5 PROFILI ACCESSO B1</v>
      </c>
      <c r="B35" s="377" t="str">
        <f>'t1'!B35</f>
        <v>037493</v>
      </c>
      <c r="C35" s="402">
        <f>'t12'!C35</f>
        <v>0</v>
      </c>
      <c r="D35" s="403">
        <f>'t12'!D35</f>
        <v>0</v>
      </c>
      <c r="E35" s="404" t="str">
        <f t="shared" si="3"/>
        <v> </v>
      </c>
      <c r="F35" s="429">
        <v>18808.79</v>
      </c>
      <c r="G35" s="404" t="str">
        <f t="shared" si="0"/>
        <v> </v>
      </c>
      <c r="H35" s="405" t="str">
        <f t="shared" si="1"/>
        <v> </v>
      </c>
      <c r="I35" s="383" t="str">
        <f t="shared" si="2"/>
        <v> </v>
      </c>
    </row>
    <row r="36" spans="1:9" ht="12.75">
      <c r="A36" s="147" t="str">
        <f>'t1'!A36</f>
        <v>POSIZ.ECON. B4 PROFILI ACCESSO B3</v>
      </c>
      <c r="B36" s="377" t="str">
        <f>'t1'!B36</f>
        <v>036494</v>
      </c>
      <c r="C36" s="402">
        <f>'t12'!C36</f>
        <v>371</v>
      </c>
      <c r="D36" s="403">
        <f>'t12'!D36</f>
        <v>562890</v>
      </c>
      <c r="E36" s="404">
        <f t="shared" si="3"/>
        <v>18206.684636118596</v>
      </c>
      <c r="F36" s="429">
        <v>18496.61</v>
      </c>
      <c r="G36" s="404">
        <f t="shared" si="0"/>
        <v>-289.92536388140434</v>
      </c>
      <c r="H36" s="405">
        <f t="shared" si="1"/>
        <v>-0.015674513539583972</v>
      </c>
      <c r="I36" s="383" t="str">
        <f t="shared" si="2"/>
        <v>OK</v>
      </c>
    </row>
    <row r="37" spans="1:9" ht="12.75">
      <c r="A37" s="147" t="str">
        <f>'t1'!A37</f>
        <v>POSIZ.ECON. B4 PROFILI ACCESSO B1</v>
      </c>
      <c r="B37" s="377" t="str">
        <f>'t1'!B37</f>
        <v>036495</v>
      </c>
      <c r="C37" s="402">
        <f>'t12'!C37</f>
        <v>24</v>
      </c>
      <c r="D37" s="403">
        <f>'t12'!D37</f>
        <v>36465</v>
      </c>
      <c r="E37" s="404">
        <f t="shared" si="3"/>
        <v>18232.5</v>
      </c>
      <c r="F37" s="429">
        <v>18496.61</v>
      </c>
      <c r="G37" s="404">
        <f t="shared" si="0"/>
        <v>-264.1100000000006</v>
      </c>
      <c r="H37" s="405">
        <f t="shared" si="1"/>
        <v>-0.014278832715832824</v>
      </c>
      <c r="I37" s="383" t="str">
        <f t="shared" si="2"/>
        <v>OK</v>
      </c>
    </row>
    <row r="38" spans="1:9" ht="12.75">
      <c r="A38" s="147" t="str">
        <f>'t1'!A38</f>
        <v>POSIZIONE ECONOMICA DI ACCESSO B3</v>
      </c>
      <c r="B38" s="377" t="str">
        <f>'t1'!B38</f>
        <v>055000</v>
      </c>
      <c r="C38" s="402">
        <f>'t12'!C38</f>
        <v>144.88</v>
      </c>
      <c r="D38" s="403">
        <f>'t12'!D38</f>
        <v>216712</v>
      </c>
      <c r="E38" s="404">
        <f t="shared" si="3"/>
        <v>17949.64108227499</v>
      </c>
      <c r="F38" s="429">
        <v>18229.92</v>
      </c>
      <c r="G38" s="404">
        <f t="shared" si="0"/>
        <v>-280.2789177250088</v>
      </c>
      <c r="H38" s="405">
        <f t="shared" si="1"/>
        <v>-0.015374665260462406</v>
      </c>
      <c r="I38" s="383" t="str">
        <f t="shared" si="2"/>
        <v>OK</v>
      </c>
    </row>
    <row r="39" spans="1:9" ht="12.75">
      <c r="A39" s="147" t="str">
        <f>'t1'!A39</f>
        <v>POSIZIONE ECONOMICA B3</v>
      </c>
      <c r="B39" s="377" t="str">
        <f>'t1'!B39</f>
        <v>034000</v>
      </c>
      <c r="C39" s="402">
        <f>'t12'!C39</f>
        <v>156</v>
      </c>
      <c r="D39" s="403">
        <f>'t12'!D39</f>
        <v>233299</v>
      </c>
      <c r="E39" s="404">
        <f t="shared" si="3"/>
        <v>17946.076923076922</v>
      </c>
      <c r="F39" s="429">
        <v>18229.92</v>
      </c>
      <c r="G39" s="404">
        <f t="shared" si="0"/>
        <v>-283.8430769230763</v>
      </c>
      <c r="H39" s="405">
        <f t="shared" si="1"/>
        <v>-0.015570176771103566</v>
      </c>
      <c r="I39" s="383" t="str">
        <f t="shared" si="2"/>
        <v>OK</v>
      </c>
    </row>
    <row r="40" spans="1:9" ht="12.75">
      <c r="A40" s="147" t="str">
        <f>'t1'!A40</f>
        <v>POSIZIONE ECONOMICA B2</v>
      </c>
      <c r="B40" s="377" t="str">
        <f>'t1'!B40</f>
        <v>032000</v>
      </c>
      <c r="C40" s="402">
        <f>'t12'!C40</f>
        <v>120</v>
      </c>
      <c r="D40" s="403">
        <f>'t12'!D40</f>
        <v>172350</v>
      </c>
      <c r="E40" s="404">
        <f t="shared" si="3"/>
        <v>17235</v>
      </c>
      <c r="F40" s="429">
        <v>17531.61</v>
      </c>
      <c r="G40" s="404">
        <f t="shared" si="0"/>
        <v>-296.6100000000006</v>
      </c>
      <c r="H40" s="405">
        <f t="shared" si="1"/>
        <v>-0.01691858306225159</v>
      </c>
      <c r="I40" s="383" t="str">
        <f t="shared" si="2"/>
        <v>OK</v>
      </c>
    </row>
    <row r="41" spans="1:9" ht="12.75">
      <c r="A41" s="147" t="str">
        <f>'t1'!A41</f>
        <v>POSIZIONE ECONOMICA DI ACCESSO B1</v>
      </c>
      <c r="B41" s="377" t="str">
        <f>'t1'!B41</f>
        <v>054000</v>
      </c>
      <c r="C41" s="402">
        <f>'t12'!C41</f>
        <v>12</v>
      </c>
      <c r="D41" s="403">
        <f>'t12'!D41</f>
        <v>16954</v>
      </c>
      <c r="E41" s="404">
        <f aca="true" t="shared" si="4" ref="E41:E48">IF(C41=0," ",D41/C41*12)</f>
        <v>16954</v>
      </c>
      <c r="F41" s="429">
        <v>17244.71</v>
      </c>
      <c r="G41" s="404">
        <f t="shared" si="0"/>
        <v>-290.7099999999991</v>
      </c>
      <c r="H41" s="405">
        <f t="shared" si="1"/>
        <v>-0.016857923386360173</v>
      </c>
      <c r="I41" s="383" t="str">
        <f t="shared" si="2"/>
        <v>OK</v>
      </c>
    </row>
    <row r="42" spans="1:9" ht="12.75">
      <c r="A42" s="147" t="str">
        <f>'t1'!A42</f>
        <v>POSIZIONE ECONOMICA A5</v>
      </c>
      <c r="B42" s="377" t="str">
        <f>'t1'!B42</f>
        <v>0A5000</v>
      </c>
      <c r="C42" s="402">
        <f>'t12'!C42</f>
        <v>0</v>
      </c>
      <c r="D42" s="403">
        <f>'t12'!D42</f>
        <v>0</v>
      </c>
      <c r="E42" s="404" t="str">
        <f t="shared" si="4"/>
        <v> </v>
      </c>
      <c r="F42" s="429">
        <v>17539.65</v>
      </c>
      <c r="G42" s="404" t="str">
        <f t="shared" si="0"/>
        <v> </v>
      </c>
      <c r="H42" s="405" t="str">
        <f t="shared" si="1"/>
        <v> </v>
      </c>
      <c r="I42" s="383" t="str">
        <f t="shared" si="2"/>
        <v> </v>
      </c>
    </row>
    <row r="43" spans="1:9" ht="12.75">
      <c r="A43" s="147" t="str">
        <f>'t1'!A43</f>
        <v>POSIZIONE ECONOMICA A4</v>
      </c>
      <c r="B43" s="377" t="str">
        <f>'t1'!B43</f>
        <v>028000</v>
      </c>
      <c r="C43" s="402">
        <f>'t12'!C43</f>
        <v>0</v>
      </c>
      <c r="D43" s="403">
        <f>'t12'!D43</f>
        <v>0</v>
      </c>
      <c r="E43" s="404" t="str">
        <f t="shared" si="4"/>
        <v> </v>
      </c>
      <c r="F43" s="429">
        <v>17184.06</v>
      </c>
      <c r="G43" s="404" t="str">
        <f t="shared" si="0"/>
        <v> </v>
      </c>
      <c r="H43" s="405" t="str">
        <f t="shared" si="1"/>
        <v> </v>
      </c>
      <c r="I43" s="383" t="str">
        <f t="shared" si="2"/>
        <v> </v>
      </c>
    </row>
    <row r="44" spans="1:9" ht="12.75">
      <c r="A44" s="147" t="str">
        <f>'t1'!A44</f>
        <v>POSIZIONE ECONOMICA A3</v>
      </c>
      <c r="B44" s="377" t="str">
        <f>'t1'!B44</f>
        <v>027000</v>
      </c>
      <c r="C44" s="402">
        <f>'t12'!C44</f>
        <v>0</v>
      </c>
      <c r="D44" s="403">
        <f>'t12'!D44</f>
        <v>0</v>
      </c>
      <c r="E44" s="404" t="str">
        <f t="shared" si="4"/>
        <v> </v>
      </c>
      <c r="F44" s="429">
        <v>16884.36</v>
      </c>
      <c r="G44" s="404" t="str">
        <f t="shared" si="0"/>
        <v> </v>
      </c>
      <c r="H44" s="405" t="str">
        <f t="shared" si="1"/>
        <v> </v>
      </c>
      <c r="I44" s="383" t="str">
        <f t="shared" si="2"/>
        <v> </v>
      </c>
    </row>
    <row r="45" spans="1:9" ht="12.75">
      <c r="A45" s="147" t="str">
        <f>'t1'!A45</f>
        <v>POSIZIONE ECONOMICA A2</v>
      </c>
      <c r="B45" s="377" t="str">
        <f>'t1'!B45</f>
        <v>025000</v>
      </c>
      <c r="C45" s="402">
        <f>'t12'!C45</f>
        <v>0</v>
      </c>
      <c r="D45" s="403">
        <f>'t12'!D45</f>
        <v>0</v>
      </c>
      <c r="E45" s="404" t="str">
        <f t="shared" si="4"/>
        <v> </v>
      </c>
      <c r="F45" s="429">
        <v>16533.95</v>
      </c>
      <c r="G45" s="404" t="str">
        <f t="shared" si="0"/>
        <v> </v>
      </c>
      <c r="H45" s="405" t="str">
        <f t="shared" si="1"/>
        <v> </v>
      </c>
      <c r="I45" s="383" t="str">
        <f t="shared" si="2"/>
        <v> </v>
      </c>
    </row>
    <row r="46" spans="1:9" ht="12.75">
      <c r="A46" s="147" t="str">
        <f>'t1'!A46</f>
        <v>POSIZIONE ECONOMICA DI ACCESSO A1</v>
      </c>
      <c r="B46" s="377" t="str">
        <f>'t1'!B46</f>
        <v>053000</v>
      </c>
      <c r="C46" s="402">
        <f>'t12'!C46</f>
        <v>12</v>
      </c>
      <c r="D46" s="403">
        <f>'t12'!D46</f>
        <v>16039</v>
      </c>
      <c r="E46" s="404">
        <f t="shared" si="4"/>
        <v>16039</v>
      </c>
      <c r="F46" s="429">
        <v>16314.57</v>
      </c>
      <c r="G46" s="404">
        <f t="shared" si="0"/>
        <v>-275.5699999999997</v>
      </c>
      <c r="H46" s="405">
        <f t="shared" si="1"/>
        <v>-0.016891036662320842</v>
      </c>
      <c r="I46" s="383" t="str">
        <f t="shared" si="2"/>
        <v>OK</v>
      </c>
    </row>
    <row r="47" spans="1:9" ht="12.75">
      <c r="A47" s="147" t="str">
        <f>'t1'!A47</f>
        <v>CONTRATTISTI (a)</v>
      </c>
      <c r="B47" s="377" t="str">
        <f>'t1'!B47</f>
        <v>000061</v>
      </c>
      <c r="C47" s="402">
        <f>'t12'!C47</f>
        <v>24</v>
      </c>
      <c r="D47" s="403">
        <f>'t12'!D47</f>
        <v>71816</v>
      </c>
      <c r="E47" s="404">
        <f t="shared" si="4"/>
        <v>35908</v>
      </c>
      <c r="F47" s="429"/>
      <c r="G47" s="404">
        <f t="shared" si="0"/>
        <v>35908</v>
      </c>
      <c r="H47" s="405" t="str">
        <f t="shared" si="1"/>
        <v> </v>
      </c>
      <c r="I47" s="383" t="str">
        <f t="shared" si="2"/>
        <v> </v>
      </c>
    </row>
    <row r="48" spans="1:9" ht="12.75">
      <c r="A48" s="147" t="str">
        <f>'t1'!A48</f>
        <v>COLLABORATORE A TEMPO DETERMIN. (b)</v>
      </c>
      <c r="B48" s="377" t="str">
        <f>'t1'!B48</f>
        <v>000096</v>
      </c>
      <c r="C48" s="402">
        <f>'t12'!C48</f>
        <v>0</v>
      </c>
      <c r="D48" s="403">
        <f>'t12'!D48</f>
        <v>0</v>
      </c>
      <c r="E48" s="404" t="str">
        <f t="shared" si="4"/>
        <v> </v>
      </c>
      <c r="F48" s="429"/>
      <c r="G48" s="404" t="str">
        <f t="shared" si="0"/>
        <v> </v>
      </c>
      <c r="H48" s="405" t="str">
        <f t="shared" si="1"/>
        <v> </v>
      </c>
      <c r="I48" s="383" t="str">
        <f t="shared" si="2"/>
        <v> </v>
      </c>
    </row>
  </sheetData>
  <sheetProtection password="EA98" sheet="1" formatColumns="0" selectLockedCells="1" selectUnlockedCells="1"/>
  <mergeCells count="2">
    <mergeCell ref="A1:H1"/>
    <mergeCell ref="D2:I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horizontalDpi="600" verticalDpi="600" orientation="landscape" paperSize="9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28"/>
  <sheetViews>
    <sheetView showGridLines="0" zoomScale="90" zoomScaleNormal="90" zoomScalePageLayoutView="0" workbookViewId="0" topLeftCell="A1">
      <pane ySplit="5" topLeftCell="A6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71.33203125" style="517" customWidth="1"/>
    <col min="2" max="2" width="8" style="517" customWidth="1"/>
    <col min="3" max="3" width="14.16015625" style="517" customWidth="1"/>
    <col min="4" max="4" width="15.33203125" style="517" customWidth="1"/>
    <col min="5" max="5" width="25" style="517" bestFit="1" customWidth="1"/>
    <col min="6" max="6" width="17.33203125" style="517" customWidth="1"/>
    <col min="7" max="7" width="17.16015625" style="517" customWidth="1"/>
    <col min="8" max="14" width="9.33203125" style="517" customWidth="1"/>
  </cols>
  <sheetData>
    <row r="1" spans="1:13" s="5" customFormat="1" ht="26.25" customHeight="1">
      <c r="A1" s="1392" t="str">
        <f>'t1'!A1:K1</f>
        <v>COMPARTO REGIONI ED AUTONOMIE LOCALI</v>
      </c>
      <c r="B1" s="1392"/>
      <c r="C1" s="1392"/>
      <c r="D1" s="1392"/>
      <c r="E1" s="1392"/>
      <c r="F1" s="373"/>
      <c r="G1" s="370"/>
      <c r="H1" s="373"/>
      <c r="K1" s="3"/>
      <c r="M1" s="516"/>
    </row>
    <row r="2" spans="2:13" s="5" customFormat="1" ht="21" customHeight="1">
      <c r="B2" s="1496"/>
      <c r="C2" s="1496"/>
      <c r="D2" s="1496"/>
      <c r="E2" s="1496"/>
      <c r="F2" s="1496"/>
      <c r="G2" s="1496"/>
      <c r="J2" s="374"/>
      <c r="K2" s="3"/>
      <c r="M2" s="516"/>
    </row>
    <row r="3" spans="1:2" s="5" customFormat="1" ht="21" customHeight="1" thickBot="1">
      <c r="A3" s="378" t="s">
        <v>282</v>
      </c>
      <c r="B3" s="7"/>
    </row>
    <row r="4" spans="1:7" ht="20.25" customHeight="1" thickBot="1">
      <c r="A4" s="389" t="s">
        <v>283</v>
      </c>
      <c r="B4" s="1528">
        <f>'t12'!K49+'t13'!P49</f>
        <v>8452299</v>
      </c>
      <c r="C4" s="1529"/>
      <c r="D4" s="1529"/>
      <c r="E4" s="1529"/>
      <c r="F4" s="1529"/>
      <c r="G4" s="1530"/>
    </row>
    <row r="5" spans="1:14" ht="68.25" customHeight="1" thickBot="1">
      <c r="A5" s="243" t="s">
        <v>111</v>
      </c>
      <c r="B5" s="244" t="s">
        <v>266</v>
      </c>
      <c r="C5" s="244" t="s">
        <v>267</v>
      </c>
      <c r="D5" s="245" t="s">
        <v>268</v>
      </c>
      <c r="E5" s="1531" t="s">
        <v>264</v>
      </c>
      <c r="F5" s="1532"/>
      <c r="G5" s="1533"/>
      <c r="H5" s="516"/>
      <c r="I5" s="516"/>
      <c r="J5" s="516"/>
      <c r="K5" s="516"/>
      <c r="L5" s="516"/>
      <c r="M5" s="516"/>
      <c r="N5" s="516"/>
    </row>
    <row r="6" spans="1:14" ht="19.5" customHeight="1">
      <c r="A6" s="242" t="str">
        <f>'t14'!A4</f>
        <v>ASSEGNI PER IL NUCLEO FAMILIARE</v>
      </c>
      <c r="B6" s="384" t="str">
        <f>'t14'!B4</f>
        <v>L005</v>
      </c>
      <c r="C6" s="379">
        <f>'t14'!C4</f>
        <v>309417</v>
      </c>
      <c r="D6" s="518">
        <f aca="true" t="shared" si="0" ref="D6:D11">IF($B$4=0," ",(IF(C6=0," ",C6/$B$4)))</f>
        <v>0.03660743662759682</v>
      </c>
      <c r="E6" s="1511" t="str">
        <f>IF($B$4=0,"TABELLE 12 -13 ASSENTI",(IF('t12'!$K$49=0,"TAB. 12 ASSENTE",(IF('t13'!P49=0,"TAB. 13 ASSENTE"," ")))))</f>
        <v> </v>
      </c>
      <c r="F6" s="1512"/>
      <c r="G6" s="1513"/>
      <c r="H6" s="516"/>
      <c r="I6" s="516"/>
      <c r="J6" s="516"/>
      <c r="K6" s="516"/>
      <c r="L6" s="516"/>
      <c r="M6" s="516"/>
      <c r="N6" s="516"/>
    </row>
    <row r="7" spans="1:14" ht="19.5" customHeight="1">
      <c r="A7" s="242" t="str">
        <f>'t14'!A5</f>
        <v>GESTIONE MENSE</v>
      </c>
      <c r="B7" s="384" t="str">
        <f>'t14'!B5</f>
        <v>L010</v>
      </c>
      <c r="C7" s="380">
        <f>'t14'!C5</f>
        <v>0</v>
      </c>
      <c r="D7" s="519" t="str">
        <f t="shared" si="0"/>
        <v> </v>
      </c>
      <c r="E7" s="1505"/>
      <c r="F7" s="1506"/>
      <c r="G7" s="1507"/>
      <c r="H7" s="516"/>
      <c r="I7" s="516"/>
      <c r="J7" s="516"/>
      <c r="K7" s="516"/>
      <c r="L7" s="516"/>
      <c r="M7" s="516"/>
      <c r="N7" s="516"/>
    </row>
    <row r="8" spans="1:14" ht="19.5" customHeight="1">
      <c r="A8" s="242" t="str">
        <f>'t14'!A6</f>
        <v>EROGAZIONE BUONI PASTO</v>
      </c>
      <c r="B8" s="384" t="str">
        <f>'t14'!B6</f>
        <v>L011</v>
      </c>
      <c r="C8" s="380">
        <f>'t14'!C6</f>
        <v>100705</v>
      </c>
      <c r="D8" s="519">
        <f t="shared" si="0"/>
        <v>0.011914509886600083</v>
      </c>
      <c r="E8" s="1505"/>
      <c r="F8" s="1506"/>
      <c r="G8" s="1507"/>
      <c r="H8" s="516"/>
      <c r="I8" s="516"/>
      <c r="J8" s="516"/>
      <c r="K8" s="516"/>
      <c r="L8" s="516"/>
      <c r="M8" s="516"/>
      <c r="N8" s="516"/>
    </row>
    <row r="9" spans="1:14" ht="19.5" customHeight="1">
      <c r="A9" s="242" t="str">
        <f>'t14'!A7</f>
        <v>FORMAZIONE DEL PERSONALE</v>
      </c>
      <c r="B9" s="384" t="str">
        <f>'t14'!B7</f>
        <v>L020</v>
      </c>
      <c r="C9" s="380">
        <f>'t14'!C7</f>
        <v>19686</v>
      </c>
      <c r="D9" s="519">
        <f t="shared" si="0"/>
        <v>0.0023290704694663546</v>
      </c>
      <c r="E9" s="1505"/>
      <c r="F9" s="1506"/>
      <c r="G9" s="1507"/>
      <c r="H9" s="516"/>
      <c r="I9" s="516"/>
      <c r="J9" s="516"/>
      <c r="K9" s="516"/>
      <c r="L9" s="516"/>
      <c r="M9" s="516"/>
      <c r="N9" s="516"/>
    </row>
    <row r="10" spans="1:14" ht="19.5" customHeight="1">
      <c r="A10" s="242" t="str">
        <f>'t14'!A8</f>
        <v>BENESSERE DEL PERSONALE</v>
      </c>
      <c r="B10" s="384" t="str">
        <f>'t14'!B8</f>
        <v>L090</v>
      </c>
      <c r="C10" s="380">
        <f>'t14'!C8</f>
        <v>12391</v>
      </c>
      <c r="D10" s="519">
        <f t="shared" si="0"/>
        <v>0.001465991678713685</v>
      </c>
      <c r="E10" s="1505"/>
      <c r="F10" s="1506"/>
      <c r="G10" s="1507"/>
      <c r="H10" s="516"/>
      <c r="I10" s="516"/>
      <c r="J10" s="516"/>
      <c r="K10" s="516"/>
      <c r="L10" s="516"/>
      <c r="M10" s="516"/>
      <c r="N10" s="516"/>
    </row>
    <row r="11" spans="1:14" ht="19.5" customHeight="1" thickBot="1">
      <c r="A11" s="242" t="str">
        <f>'t14'!A9</f>
        <v>EQUO INDENNIZZO AL PERSONALE</v>
      </c>
      <c r="B11" s="384" t="str">
        <f>'t14'!B9</f>
        <v>L100</v>
      </c>
      <c r="C11" s="380">
        <f>'t14'!C9</f>
        <v>0</v>
      </c>
      <c r="D11" s="520" t="str">
        <f t="shared" si="0"/>
        <v> </v>
      </c>
      <c r="E11" s="1508"/>
      <c r="F11" s="1509"/>
      <c r="G11" s="1510"/>
      <c r="H11" s="516"/>
      <c r="I11" s="516"/>
      <c r="J11" s="516"/>
      <c r="K11" s="516"/>
      <c r="L11" s="516"/>
      <c r="M11" s="516"/>
      <c r="N11" s="516"/>
    </row>
    <row r="12" spans="1:14" ht="30.75" customHeight="1" thickBot="1">
      <c r="A12" s="242" t="str">
        <f>'t14'!A10</f>
        <v>SOMME CORRISPOSTE ALL'AGENZIA DI SOMMINISTRAZIONE (INTERINALI)</v>
      </c>
      <c r="B12" s="384" t="str">
        <f>'t14'!B10</f>
        <v>L105</v>
      </c>
      <c r="C12" s="380">
        <f>'t14'!C10</f>
        <v>0</v>
      </c>
      <c r="D12" s="521" t="str">
        <f>IF($B$4=0," ",IF(C12=0," ",C12/$B$4))</f>
        <v> </v>
      </c>
      <c r="E12" s="1514" t="str">
        <f>(IF(AND(C12=0,C24&gt;0),"INSERIRE SOMME SPETTANTI ALL'AGENZIA",IF(C12&gt;(C24/100*30),"ATTENZIONE VERIFICARE IMPORTO"," ")))</f>
        <v> </v>
      </c>
      <c r="F12" s="1515"/>
      <c r="G12" s="1516"/>
      <c r="H12" s="516"/>
      <c r="I12" s="516"/>
      <c r="J12" s="516"/>
      <c r="K12" s="516"/>
      <c r="L12" s="516"/>
      <c r="M12" s="516"/>
      <c r="N12" s="516"/>
    </row>
    <row r="13" spans="1:14" ht="19.5" customHeight="1" thickBot="1">
      <c r="A13" s="242" t="str">
        <f>'t14'!A11</f>
        <v>COPERTURE ASSICURATIVE</v>
      </c>
      <c r="B13" s="384" t="str">
        <f>'t14'!B11</f>
        <v>L107</v>
      </c>
      <c r="C13" s="380">
        <f>'t14'!C11</f>
        <v>238867</v>
      </c>
      <c r="D13" s="518">
        <f aca="true" t="shared" si="1" ref="D13:D21">IF($B$4=0," ",(IF(C13=0," ",C13/$B$4)))</f>
        <v>0.02826059513512241</v>
      </c>
      <c r="E13" s="1517" t="str">
        <f>IF($B$4=0,"TABELLE 12 -13 ASSENTI",(IF('t12'!$K$49=0,"TAB. 12 ASSENTE",(IF('t13'!$P$49=0,"TAB. 13 ASSENTE"," ")))))</f>
        <v> </v>
      </c>
      <c r="F13" s="1518" t="s">
        <v>361</v>
      </c>
      <c r="G13" s="1519" t="s">
        <v>361</v>
      </c>
      <c r="H13" s="516"/>
      <c r="I13" s="516"/>
      <c r="J13" s="516"/>
      <c r="K13" s="516"/>
      <c r="L13" s="516"/>
      <c r="M13" s="516"/>
      <c r="N13" s="516"/>
    </row>
    <row r="14" spans="1:14" ht="41.25" customHeight="1" thickBot="1">
      <c r="A14" s="242" t="str">
        <f>'t14'!A12</f>
        <v>CONTRATTI DI COLLABORAZIONE COORDINATA E CONTINUATIVA</v>
      </c>
      <c r="B14" s="384" t="str">
        <f>'t14'!B12</f>
        <v>L108</v>
      </c>
      <c r="C14" s="380">
        <f>'t14'!C12</f>
        <v>0</v>
      </c>
      <c r="D14" s="519" t="str">
        <f t="shared" si="1"/>
        <v> </v>
      </c>
      <c r="E14" s="1514" t="str">
        <f>IF(SI_1!G51=0,IF('t14'!C12=0," ","MANCA IL NUMERO DEI CONTRATTI NELLA SI_1"),IF('t14'!C12=0,"VERIFICARE SE INSERIRE LE SPESE"," "))</f>
        <v> </v>
      </c>
      <c r="F14" s="1518"/>
      <c r="G14" s="406" t="str">
        <f>IF(AND(C14&gt;0,SI_1!G51&gt;0),"VALORE MEDIO UNITARIO DI SPESA =  "&amp;C14/SI_1!G51," ")</f>
        <v> </v>
      </c>
      <c r="H14" s="516"/>
      <c r="I14" s="516"/>
      <c r="J14" s="516"/>
      <c r="K14" s="516"/>
      <c r="L14" s="516"/>
      <c r="M14" s="516"/>
      <c r="N14" s="516"/>
    </row>
    <row r="15" spans="1:14" ht="41.25" customHeight="1" thickBot="1">
      <c r="A15" s="242" t="str">
        <f>'t14'!A13</f>
        <v>INCARICHI LIBERO PROFESSIONALI/STUDIO/RICERCA/CONSULENZA </v>
      </c>
      <c r="B15" s="384" t="str">
        <f>'t14'!B13</f>
        <v>L109</v>
      </c>
      <c r="C15" s="380">
        <f>'t14'!C13</f>
        <v>0</v>
      </c>
      <c r="D15" s="519" t="str">
        <f t="shared" si="1"/>
        <v> </v>
      </c>
      <c r="E15" s="1514" t="str">
        <f>IF(SI_1!G54=0,IF('t14'!C13=0," ","MANCA IL NUMERO DEI CONTRATTI NELLA SI_1"),IF('t14'!C13=0,"VERIFICARE SE INSERIRE LE SPESE"," "))</f>
        <v> </v>
      </c>
      <c r="F15" s="1518"/>
      <c r="G15" s="406" t="str">
        <f>IF(AND(C15&gt;0,SI_1!G54&gt;0),"VALORE MEDIO UNITARIO DI SPESA =  "&amp;C15/SI_1!G54," ")</f>
        <v> </v>
      </c>
      <c r="H15" s="516"/>
      <c r="I15" s="516"/>
      <c r="J15" s="516"/>
      <c r="K15" s="516"/>
      <c r="L15" s="516"/>
      <c r="M15" s="516"/>
      <c r="N15" s="516"/>
    </row>
    <row r="16" spans="1:14" ht="41.25" customHeight="1" thickBot="1">
      <c r="A16" s="242" t="str">
        <f>'t14'!A14</f>
        <v>CONTRATTI PER RESA SERVIZI/ADEMPIMENTI OBBLIGATORI PER LEGGE</v>
      </c>
      <c r="B16" s="384" t="str">
        <f>'t14'!B14</f>
        <v>L115</v>
      </c>
      <c r="C16" s="380">
        <f>'t14'!C14</f>
        <v>0</v>
      </c>
      <c r="D16" s="519" t="str">
        <f>IF($B$4=0," ",(IF(C16=0," ",C16/$B$4)))</f>
        <v> </v>
      </c>
      <c r="E16" s="1514" t="str">
        <f>IF(SI_1!G57=0,IF('t14'!C14=0," ","MANCA IL NUMERO DEI CONTRATTI NELLA SI_1"),IF('t14'!C14=0,"VERIFICARE SE INSERIRE LE SPESE"," "))</f>
        <v> </v>
      </c>
      <c r="F16" s="1518"/>
      <c r="G16" s="406" t="str">
        <f>IF(AND(C16&gt;0,SI_1!G55&gt;0),"VALORE MEDIO UNITARIO DI SPESA =  "&amp;C16/SI_1!G55," ")</f>
        <v> </v>
      </c>
      <c r="H16" s="516"/>
      <c r="I16" s="516"/>
      <c r="J16" s="516"/>
      <c r="K16" s="516"/>
      <c r="L16" s="516"/>
      <c r="M16" s="516"/>
      <c r="N16" s="516"/>
    </row>
    <row r="17" spans="1:14" ht="19.5" customHeight="1">
      <c r="A17" s="242" t="str">
        <f>'t14'!A15</f>
        <v>ALTRE SPESE</v>
      </c>
      <c r="B17" s="384" t="str">
        <f>'t14'!B15</f>
        <v>L110</v>
      </c>
      <c r="C17" s="380">
        <f>'t14'!C15</f>
        <v>180985</v>
      </c>
      <c r="D17" s="519">
        <f t="shared" si="1"/>
        <v>0.021412517470098962</v>
      </c>
      <c r="E17" s="1511" t="str">
        <f>IF($B$4=0,"TABELLE 12 -13 ASSENTI",(IF('t12'!K49=0,"TAB. 12 ASSENTE",(IF('t13'!P49=0,"TAB. 13 ASSENTE"," ")))))</f>
        <v> </v>
      </c>
      <c r="F17" s="1520" t="s">
        <v>361</v>
      </c>
      <c r="G17" s="1521" t="s">
        <v>361</v>
      </c>
      <c r="H17" s="516"/>
      <c r="I17" s="516"/>
      <c r="J17" s="516"/>
      <c r="K17" s="516"/>
      <c r="L17" s="516"/>
      <c r="M17" s="516"/>
      <c r="N17" s="516"/>
    </row>
    <row r="18" spans="1:14" ht="19.5" customHeight="1">
      <c r="A18" s="242" t="str">
        <f>'t14'!A16</f>
        <v>RETRIBUZIONI DEL PERSONALE A TEMPO DETERMINATO </v>
      </c>
      <c r="B18" s="384" t="str">
        <f>'t14'!B16</f>
        <v>P015</v>
      </c>
      <c r="C18" s="380">
        <f>'t14'!C16</f>
        <v>5995146</v>
      </c>
      <c r="D18" s="519">
        <f t="shared" si="1"/>
        <v>0.7092917560062653</v>
      </c>
      <c r="E18" s="1522" t="s">
        <v>361</v>
      </c>
      <c r="F18" s="1523" t="s">
        <v>361</v>
      </c>
      <c r="G18" s="1524" t="s">
        <v>361</v>
      </c>
      <c r="H18" s="516"/>
      <c r="I18" s="516"/>
      <c r="J18" s="516"/>
      <c r="K18" s="516"/>
      <c r="L18" s="516"/>
      <c r="M18" s="516"/>
      <c r="N18" s="516"/>
    </row>
    <row r="19" spans="1:14" ht="19.5" customHeight="1">
      <c r="A19" s="242" t="str">
        <f>'t14'!A17</f>
        <v>RETRIBUZIONI DEL PERSONALE CON CONTRATTO DI FORMAZIONE E LAVORO</v>
      </c>
      <c r="B19" s="384" t="str">
        <f>'t14'!B17</f>
        <v>P016</v>
      </c>
      <c r="C19" s="380">
        <f>'t14'!C17</f>
        <v>0</v>
      </c>
      <c r="D19" s="519" t="str">
        <f t="shared" si="1"/>
        <v> </v>
      </c>
      <c r="E19" s="1522" t="s">
        <v>361</v>
      </c>
      <c r="F19" s="1523" t="s">
        <v>361</v>
      </c>
      <c r="G19" s="1524" t="s">
        <v>361</v>
      </c>
      <c r="H19" s="516"/>
      <c r="I19" s="516"/>
      <c r="J19" s="516"/>
      <c r="K19" s="516"/>
      <c r="L19" s="516"/>
      <c r="M19" s="516"/>
      <c r="N19" s="516"/>
    </row>
    <row r="20" spans="1:14" ht="19.5" customHeight="1" thickBot="1">
      <c r="A20" s="242" t="str">
        <f>'t14'!A18</f>
        <v>INDENNITA' DI MISSIONE E TRASFERIMENTO</v>
      </c>
      <c r="B20" s="384" t="str">
        <f>'t14'!B18</f>
        <v>P030</v>
      </c>
      <c r="C20" s="380">
        <f>'t14'!C18</f>
        <v>271864</v>
      </c>
      <c r="D20" s="519">
        <f t="shared" si="1"/>
        <v>0.03216450340907249</v>
      </c>
      <c r="E20" s="1525" t="s">
        <v>361</v>
      </c>
      <c r="F20" s="1526" t="s">
        <v>361</v>
      </c>
      <c r="G20" s="1527" t="s">
        <v>361</v>
      </c>
      <c r="H20" s="516"/>
      <c r="I20" s="516"/>
      <c r="J20" s="516"/>
      <c r="K20" s="516"/>
      <c r="L20" s="516"/>
      <c r="M20" s="516"/>
      <c r="N20" s="516"/>
    </row>
    <row r="21" spans="1:14" ht="30.75" customHeight="1" thickBot="1">
      <c r="A21" s="242" t="str">
        <f>'t14'!A19</f>
        <v>CONTRIBUTI A CARICO DELL'AMMINISTRAZIONE SU COMPETENZE FISSE ED ACCESSORIE</v>
      </c>
      <c r="B21" s="384" t="str">
        <f>'t14'!B19</f>
        <v>P055</v>
      </c>
      <c r="C21" s="380">
        <f>'t14'!C19</f>
        <v>3933205</v>
      </c>
      <c r="D21" s="519">
        <f t="shared" si="1"/>
        <v>0.46534144142321515</v>
      </c>
      <c r="E21" s="604">
        <f>IF(AND(C28=0,B4=0)," ",IF(C28=0,"TABELLA 14 ASSENTE",IF(AND(B4=0,C18=0,C19=0,C25=0),"INSERIRE RETRIBUZIONI",IF(C21=0,"INSERIRE CONTRIBUTI",ROUND((C21/(B4+C18+C19+C25)*100),2)))))</f>
        <v>27.09</v>
      </c>
      <c r="F21" s="1515" t="str">
        <f>IF(AND(B4=0,C28=0)," ",IF(C28=0,"VALORE INCONGRUENTE",IF(C21=0," ",IF(OR(E21&lt;22.678,E21&gt;30.682),"VALORE INCONGRUENTE (Inc. 4)","OK"))))</f>
        <v>OK</v>
      </c>
      <c r="G21" s="1516"/>
      <c r="H21" s="516"/>
      <c r="I21" s="516"/>
      <c r="J21" s="516"/>
      <c r="K21" s="516"/>
      <c r="L21" s="516"/>
      <c r="M21" s="516"/>
      <c r="N21" s="516"/>
    </row>
    <row r="22" spans="1:14" ht="30.75" customHeight="1" thickBot="1">
      <c r="A22" s="242" t="str">
        <f>'t14'!A20</f>
        <v>QUOTE ANNUE DI ACCANTONAMENTO DEL TFR O ALTRA INDENNITA' DI FINE SERVIZIO</v>
      </c>
      <c r="B22" s="384" t="str">
        <f>'t14'!B20</f>
        <v>P058</v>
      </c>
      <c r="C22" s="380">
        <f>'t14'!C20</f>
        <v>0</v>
      </c>
      <c r="D22" s="519" t="str">
        <f>IF($B$4=0," ",(IF(C22=0," ",C22/$B$4)))</f>
        <v> </v>
      </c>
      <c r="E22" s="1505" t="str">
        <f>IF($B$4=0,"TABELLE 12 -13 ASSENTI",(IF('t12'!$K$49=0,"TAB. 12 ASSENTE",(IF('t13'!$P$49=0,"TAB. 13 ASSENTE"," ")))))</f>
        <v> </v>
      </c>
      <c r="F22" s="1506" t="s">
        <v>361</v>
      </c>
      <c r="G22" s="1507" t="s">
        <v>361</v>
      </c>
      <c r="H22" s="516"/>
      <c r="I22" s="516"/>
      <c r="J22" s="516"/>
      <c r="K22" s="516"/>
      <c r="L22" s="516"/>
      <c r="M22" s="516"/>
      <c r="N22" s="516"/>
    </row>
    <row r="23" spans="1:14" ht="24" customHeight="1" thickBot="1">
      <c r="A23" s="242" t="str">
        <f>'t14'!A21</f>
        <v>IRAP</v>
      </c>
      <c r="B23" s="384" t="str">
        <f>'t14'!B21</f>
        <v>P061</v>
      </c>
      <c r="C23" s="380">
        <f>'t14'!C21</f>
        <v>1232217</v>
      </c>
      <c r="D23" s="519">
        <f>IF($B$4=0," ",IF(C23=0," ",C23/$B$4))</f>
        <v>0.1457848332151998</v>
      </c>
      <c r="E23" s="604">
        <f>IF(AND(B4=0,C28=0)," ",IF(C28=0,"TABELLA 14 ASSENTE",IF(AND(B4=0,C18=0,C19=0,C25=0),"INSERIRE RETRIBUZIONI",IF(C23=0,"INSERIRE SOMME IRAP",ROUND((C23/(B4+C18+C19+C25)*100),2)))))</f>
        <v>8.49</v>
      </c>
      <c r="F23" s="1515" t="str">
        <f>IF(AND(B4=0,C28=0)," ",IF(C28=0,"VALORE INCONGRUENTE",IF(C23=0," ",IF(OR(E23&lt;7.65,E23&gt;9.35),"VALORE INCONGRUENTE (Inc.4)","OK"))))</f>
        <v>OK</v>
      </c>
      <c r="G23" s="1516"/>
      <c r="H23" s="516"/>
      <c r="I23" s="516"/>
      <c r="J23" s="516"/>
      <c r="K23" s="516"/>
      <c r="L23" s="516"/>
      <c r="M23" s="516"/>
      <c r="N23" s="516"/>
    </row>
    <row r="24" spans="1:14" ht="19.5" customHeight="1" thickBot="1">
      <c r="A24" s="242" t="str">
        <f>'t14'!A22</f>
        <v>ONERI PER I CONTRATTI DI SOMMINISTRAZIONE (INTERINALI)</v>
      </c>
      <c r="B24" s="384" t="str">
        <f>'t14'!B22</f>
        <v>P062</v>
      </c>
      <c r="C24" s="381">
        <f>'t14'!C22</f>
        <v>0</v>
      </c>
      <c r="D24" s="521" t="str">
        <f>IF($B$4=0," ",(IF(AND(C24=0,C12&gt;0),"MANCANO GLI ONERI PER I LAVORATORI",IF(C24=0," ",C24/$B$4))))</f>
        <v> </v>
      </c>
      <c r="E24" s="1517" t="str">
        <f>(IF(AND(C24=0,C12&gt;0),"INSERIRE RETRIBUZIONI PER INTERINALI"," "))</f>
        <v> </v>
      </c>
      <c r="F24" s="1534"/>
      <c r="G24" s="1535"/>
      <c r="H24" s="516"/>
      <c r="I24" s="516"/>
      <c r="J24" s="516"/>
      <c r="K24" s="516"/>
      <c r="L24" s="516"/>
      <c r="M24" s="516"/>
      <c r="N24" s="516"/>
    </row>
    <row r="25" spans="1:14" ht="19.5" customHeight="1">
      <c r="A25" s="242" t="str">
        <f>'t14'!A23</f>
        <v>COMPENSI PER IL PERSONALE ADDETTO AI  LAVORI SOCIALMENTE UTILI</v>
      </c>
      <c r="B25" s="384" t="str">
        <f>'t14'!B23</f>
        <v>P065</v>
      </c>
      <c r="C25" s="380">
        <f>'t14'!C23</f>
        <v>71161</v>
      </c>
      <c r="D25" s="523">
        <f>IF($B$4=0," ",(IF(C25=0," ",C25/$B$4)))</f>
        <v>0.008419129517306475</v>
      </c>
      <c r="E25" s="1505" t="str">
        <f>IF($B$4=0,"TABELLE 12 -13 ASSENTI",(IF('t12'!$K$49=0,"TAB. 12 ASSENTE",(IF('t13'!$P$49=0,"TAB. 13 ASSENTE"," ")))))</f>
        <v> </v>
      </c>
      <c r="F25" s="1506"/>
      <c r="G25" s="1507"/>
      <c r="H25" s="516"/>
      <c r="I25" s="516"/>
      <c r="J25" s="516"/>
      <c r="K25" s="516"/>
      <c r="L25" s="516"/>
      <c r="M25" s="516"/>
      <c r="N25" s="516"/>
    </row>
    <row r="26" spans="1:14" ht="19.5" customHeight="1">
      <c r="A26" s="242" t="str">
        <f>'t14'!A24</f>
        <v>SOMME RIMBORSATE ALLE AMMINISTRAZIONI PER SPESE DI PERSONALE</v>
      </c>
      <c r="B26" s="384" t="str">
        <f>'t14'!B24</f>
        <v>P071</v>
      </c>
      <c r="C26" s="380">
        <f>'t14'!C24</f>
        <v>0</v>
      </c>
      <c r="D26" s="522" t="str">
        <f>IF($B$4=0," ",(IF(C26=0," ",C26/$B$4)))</f>
        <v> </v>
      </c>
      <c r="E26" s="1505"/>
      <c r="F26" s="1506"/>
      <c r="G26" s="1507"/>
      <c r="H26" s="516"/>
      <c r="I26" s="516"/>
      <c r="J26" s="516"/>
      <c r="K26" s="516"/>
      <c r="L26" s="516"/>
      <c r="M26" s="516"/>
      <c r="N26" s="516"/>
    </row>
    <row r="27" spans="1:14" ht="19.5" customHeight="1" thickBot="1">
      <c r="A27" s="242" t="str">
        <f>'t14'!A25</f>
        <v>RIMBORSI RICEVUTI DALLE AMM. PER IL PERSONALE (A RIDUZIONE)</v>
      </c>
      <c r="B27" s="384" t="str">
        <f>'t14'!B25</f>
        <v>P090</v>
      </c>
      <c r="C27" s="382">
        <f>'t14'!C25</f>
        <v>325070</v>
      </c>
      <c r="D27" s="524">
        <f>IF($B$4=0," ",(IF(C27=0," ",C27/$B$4)))</f>
        <v>0.03845935880876907</v>
      </c>
      <c r="E27" s="1508"/>
      <c r="F27" s="1509"/>
      <c r="G27" s="1510"/>
      <c r="H27" s="516"/>
      <c r="I27" s="516"/>
      <c r="J27" s="516"/>
      <c r="K27" s="516"/>
      <c r="L27" s="516"/>
      <c r="M27" s="516"/>
      <c r="N27" s="516"/>
    </row>
    <row r="28" spans="1:14" s="515" customFormat="1" ht="18" customHeight="1">
      <c r="A28" s="513" t="s">
        <v>78</v>
      </c>
      <c r="B28" s="513"/>
      <c r="C28" s="514">
        <f>SUM(C6:C27)</f>
        <v>12690714</v>
      </c>
      <c r="D28" s="513"/>
      <c r="E28" s="513"/>
      <c r="F28" s="513"/>
      <c r="G28" s="513"/>
      <c r="I28" s="517"/>
      <c r="J28" s="517"/>
      <c r="K28" s="517"/>
      <c r="L28" s="517"/>
      <c r="M28" s="517"/>
      <c r="N28" s="517"/>
    </row>
  </sheetData>
  <sheetProtection password="EA98" sheet="1" formatColumns="0" selectLockedCells="1" selectUnlockedCells="1"/>
  <mergeCells count="16">
    <mergeCell ref="A1:E1"/>
    <mergeCell ref="B2:G2"/>
    <mergeCell ref="B4:G4"/>
    <mergeCell ref="E5:G5"/>
    <mergeCell ref="E15:F15"/>
    <mergeCell ref="E24:G24"/>
    <mergeCell ref="E16:F16"/>
    <mergeCell ref="E25:G27"/>
    <mergeCell ref="E6:G11"/>
    <mergeCell ref="E12:G12"/>
    <mergeCell ref="F21:G21"/>
    <mergeCell ref="F23:G23"/>
    <mergeCell ref="E13:G13"/>
    <mergeCell ref="E17:G20"/>
    <mergeCell ref="E22:G22"/>
    <mergeCell ref="E14:F14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78" r:id="rId1"/>
  <ignoredErrors>
    <ignoredError sqref="D24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sheetPr codeName="Foglio30">
    <pageSetUpPr fitToPage="1"/>
  </sheetPr>
  <dimension ref="A1:K48"/>
  <sheetViews>
    <sheetView showGridLines="0" zoomScalePageLayoutView="0" workbookViewId="0" topLeftCell="A1">
      <pane ySplit="5" topLeftCell="A6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21.33203125" style="509" customWidth="1"/>
    <col min="4" max="5" width="21.33203125" style="7" customWidth="1"/>
    <col min="6" max="6" width="21.33203125" style="427" customWidth="1"/>
    <col min="7" max="7" width="21.33203125" style="7" customWidth="1"/>
    <col min="8" max="8" width="9.33203125" style="116" customWidth="1"/>
  </cols>
  <sheetData>
    <row r="1" spans="1:11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I1" s="3"/>
      <c r="K1"/>
    </row>
    <row r="2" spans="3:11" s="5" customFormat="1" ht="21" customHeight="1">
      <c r="C2" s="505"/>
      <c r="D2" s="1496"/>
      <c r="E2" s="1496"/>
      <c r="F2" s="1496"/>
      <c r="G2" s="1496"/>
      <c r="H2" s="374"/>
      <c r="I2" s="3"/>
      <c r="K2"/>
    </row>
    <row r="3" spans="1:7" s="5" customFormat="1" ht="21" customHeight="1">
      <c r="A3" s="215" t="s">
        <v>365</v>
      </c>
      <c r="B3" s="7"/>
      <c r="C3" s="505"/>
      <c r="F3" s="428"/>
      <c r="G3" s="7"/>
    </row>
    <row r="4" spans="1:7" ht="53.25" customHeight="1">
      <c r="A4" s="200" t="s">
        <v>250</v>
      </c>
      <c r="B4" s="202" t="s">
        <v>212</v>
      </c>
      <c r="C4" s="506" t="str">
        <f>"Presenti 31.12."&amp;'t1'!M1&amp;" (Tab T1) uomini+donne della tabella T1"</f>
        <v>Presenti 31.12.2009 (Tab T1) uomini+donne della tabella T1</v>
      </c>
      <c r="D4" s="201" t="s">
        <v>359</v>
      </c>
      <c r="E4" s="201" t="s">
        <v>363</v>
      </c>
      <c r="F4" s="510" t="s">
        <v>364</v>
      </c>
      <c r="G4" s="201" t="s">
        <v>366</v>
      </c>
    </row>
    <row r="5" spans="1:8" s="219" customFormat="1" ht="10.5">
      <c r="A5" s="199"/>
      <c r="B5" s="213"/>
      <c r="C5" s="507" t="s">
        <v>214</v>
      </c>
      <c r="D5" s="217" t="s">
        <v>215</v>
      </c>
      <c r="E5" s="217" t="s">
        <v>216</v>
      </c>
      <c r="F5" s="511" t="s">
        <v>217</v>
      </c>
      <c r="G5" s="217"/>
      <c r="H5" s="116"/>
    </row>
    <row r="6" spans="1:7" ht="12.75">
      <c r="A6" s="147" t="str">
        <f>'t1'!A6</f>
        <v>SEGRETARIO A</v>
      </c>
      <c r="B6" s="377" t="str">
        <f>'t1'!B6</f>
        <v>0D0102</v>
      </c>
      <c r="C6" s="508">
        <f>('t1'!L6+'t1'!M6)</f>
        <v>1</v>
      </c>
      <c r="D6" s="403">
        <f>'t5'!Q7+'t5'!R7</f>
        <v>0</v>
      </c>
      <c r="E6" s="403">
        <f>'t4'!AT6</f>
        <v>0</v>
      </c>
      <c r="F6" s="512">
        <f>'t12'!C6</f>
        <v>12</v>
      </c>
      <c r="G6" s="429" t="str">
        <f>IF(OR(AND(NOT(C6),NOT(D6),NOT(E6),NOT(F6)),AND((OR(C6,D6,E6)),F6)),"OK","ERRORE")</f>
        <v>OK</v>
      </c>
    </row>
    <row r="7" spans="1:7" ht="12.75">
      <c r="A7" s="147" t="str">
        <f>'t1'!A7</f>
        <v>SEGRETARIO B</v>
      </c>
      <c r="B7" s="377" t="str">
        <f>'t1'!B7</f>
        <v>0D0103</v>
      </c>
      <c r="C7" s="508">
        <f>('t1'!L7+'t1'!M7)</f>
        <v>0</v>
      </c>
      <c r="D7" s="403">
        <f>'t5'!Q8+'t5'!R8</f>
        <v>0</v>
      </c>
      <c r="E7" s="403">
        <f>'t4'!AT7</f>
        <v>0</v>
      </c>
      <c r="F7" s="512">
        <f>'t12'!C7</f>
        <v>0</v>
      </c>
      <c r="G7" s="429" t="str">
        <f aca="true" t="shared" si="0" ref="G7:G48">IF(OR(AND(NOT(C7),NOT(D7),NOT(E7),NOT(F7)),AND((OR(C7,D7,E7)),F7)),"OK","ERRORE")</f>
        <v>OK</v>
      </c>
    </row>
    <row r="8" spans="1:7" ht="12.75">
      <c r="A8" s="147" t="str">
        <f>'t1'!A8</f>
        <v>SEGRETARIO C</v>
      </c>
      <c r="B8" s="377" t="str">
        <f>'t1'!B8</f>
        <v>0D0485</v>
      </c>
      <c r="C8" s="508">
        <f>('t1'!L8+'t1'!M8)</f>
        <v>0</v>
      </c>
      <c r="D8" s="403">
        <f>'t5'!Q9+'t5'!R9</f>
        <v>0</v>
      </c>
      <c r="E8" s="403">
        <f>'t4'!AT8</f>
        <v>0</v>
      </c>
      <c r="F8" s="512">
        <f>'t12'!C8</f>
        <v>0</v>
      </c>
      <c r="G8" s="429" t="str">
        <f t="shared" si="0"/>
        <v>OK</v>
      </c>
    </row>
    <row r="9" spans="1:7" ht="12.75">
      <c r="A9" s="147" t="str">
        <f>'t1'!A9</f>
        <v>SEGRETARIO GENERALE CCIAA</v>
      </c>
      <c r="B9" s="377" t="str">
        <f>'t1'!B9</f>
        <v>0D0104</v>
      </c>
      <c r="C9" s="508">
        <f>('t1'!L9+'t1'!M9)</f>
        <v>0</v>
      </c>
      <c r="D9" s="403">
        <f>'t5'!Q10+'t5'!R10</f>
        <v>0</v>
      </c>
      <c r="E9" s="403">
        <f>'t4'!AT9</f>
        <v>0</v>
      </c>
      <c r="F9" s="512">
        <f>'t12'!C9</f>
        <v>0</v>
      </c>
      <c r="G9" s="429" t="str">
        <f t="shared" si="0"/>
        <v>OK</v>
      </c>
    </row>
    <row r="10" spans="1:7" ht="12.75">
      <c r="A10" s="147" t="str">
        <f>'t1'!A10</f>
        <v>DIRETTORE  GENERALE</v>
      </c>
      <c r="B10" s="377" t="str">
        <f>'t1'!B10</f>
        <v>0D0097</v>
      </c>
      <c r="C10" s="508">
        <f>('t1'!L10+'t1'!M10)</f>
        <v>0</v>
      </c>
      <c r="D10" s="403">
        <f>'t5'!Q11+'t5'!R11</f>
        <v>0</v>
      </c>
      <c r="E10" s="403">
        <f>'t4'!AT10</f>
        <v>0</v>
      </c>
      <c r="F10" s="512">
        <f>'t12'!C10</f>
        <v>0</v>
      </c>
      <c r="G10" s="429" t="str">
        <f t="shared" si="0"/>
        <v>OK</v>
      </c>
    </row>
    <row r="11" spans="1:7" ht="12.75">
      <c r="A11" s="147" t="str">
        <f>'t1'!A11</f>
        <v>DIRIGENTE FUORI D.O.</v>
      </c>
      <c r="B11" s="377" t="str">
        <f>'t1'!B11</f>
        <v>0D0098</v>
      </c>
      <c r="C11" s="508">
        <f>('t1'!L11+'t1'!M11)</f>
        <v>0</v>
      </c>
      <c r="D11" s="403">
        <f>'t5'!Q12+'t5'!R12</f>
        <v>0</v>
      </c>
      <c r="E11" s="403">
        <f>'t4'!AT11</f>
        <v>0</v>
      </c>
      <c r="F11" s="512">
        <f>'t12'!C11</f>
        <v>0</v>
      </c>
      <c r="G11" s="429" t="str">
        <f t="shared" si="0"/>
        <v>OK</v>
      </c>
    </row>
    <row r="12" spans="1:7" ht="12.75">
      <c r="A12" s="147" t="str">
        <f>'t1'!A12</f>
        <v>ALTE SPECIALIZZ. FUORI D.O.</v>
      </c>
      <c r="B12" s="377" t="str">
        <f>'t1'!B12</f>
        <v>0D0095</v>
      </c>
      <c r="C12" s="508">
        <f>('t1'!L12+'t1'!M12)</f>
        <v>0</v>
      </c>
      <c r="D12" s="403">
        <f>'t5'!Q13+'t5'!R13</f>
        <v>0</v>
      </c>
      <c r="E12" s="403">
        <f>'t4'!AT12</f>
        <v>0</v>
      </c>
      <c r="F12" s="512">
        <f>'t12'!C12</f>
        <v>0</v>
      </c>
      <c r="G12" s="429" t="str">
        <f t="shared" si="0"/>
        <v>OK</v>
      </c>
    </row>
    <row r="13" spans="1:7" ht="12.75">
      <c r="A13" s="147" t="str">
        <f>'t1'!A13</f>
        <v>QUALIFICA DIRIGENZIALE TEMPO INDET.</v>
      </c>
      <c r="B13" s="377" t="str">
        <f>'t1'!B13</f>
        <v>0D0100</v>
      </c>
      <c r="C13" s="508">
        <f>('t1'!L13+'t1'!M13)</f>
        <v>1</v>
      </c>
      <c r="D13" s="403">
        <f>'t5'!Q14+'t5'!R14</f>
        <v>1</v>
      </c>
      <c r="E13" s="403">
        <f>'t4'!AT13</f>
        <v>0</v>
      </c>
      <c r="F13" s="512">
        <f>'t12'!C13</f>
        <v>12</v>
      </c>
      <c r="G13" s="429" t="str">
        <f t="shared" si="0"/>
        <v>OK</v>
      </c>
    </row>
    <row r="14" spans="1:7" ht="12.75">
      <c r="A14" s="147" t="str">
        <f>'t1'!A14</f>
        <v>QUALIFICA DIRIGENZIALE TEMPO DETER.</v>
      </c>
      <c r="B14" s="377" t="str">
        <f>'t1'!B14</f>
        <v>0D0099</v>
      </c>
      <c r="C14" s="508">
        <f>('t1'!L14+'t1'!M14)</f>
        <v>10</v>
      </c>
      <c r="D14" s="403">
        <f>'t5'!Q15+'t5'!R15</f>
        <v>0</v>
      </c>
      <c r="E14" s="403">
        <f>'t4'!AT14</f>
        <v>0</v>
      </c>
      <c r="F14" s="512">
        <f>'t12'!C14</f>
        <v>24.71</v>
      </c>
      <c r="G14" s="429" t="str">
        <f t="shared" si="0"/>
        <v>OK</v>
      </c>
    </row>
    <row r="15" spans="1:7" ht="12.75">
      <c r="A15" s="147" t="str">
        <f>'t1'!A15</f>
        <v>POSIZ. ECON. D6 - PROFILI ACCESSO D3</v>
      </c>
      <c r="B15" s="377" t="str">
        <f>'t1'!B15</f>
        <v>0D6A00</v>
      </c>
      <c r="C15" s="508">
        <f>('t1'!L15+'t1'!M15)</f>
        <v>8</v>
      </c>
      <c r="D15" s="403">
        <f>'t5'!Q16+'t5'!R16</f>
        <v>1</v>
      </c>
      <c r="E15" s="403">
        <f>'t4'!AT15</f>
        <v>0</v>
      </c>
      <c r="F15" s="512">
        <f>'t12'!C15</f>
        <v>108</v>
      </c>
      <c r="G15" s="429" t="str">
        <f t="shared" si="0"/>
        <v>OK</v>
      </c>
    </row>
    <row r="16" spans="1:7" ht="12.75">
      <c r="A16" s="147" t="str">
        <f>'t1'!A16</f>
        <v>POSIZ. ECON. D6 - PROFILO ACCESSO D1</v>
      </c>
      <c r="B16" s="377" t="str">
        <f>'t1'!B16</f>
        <v>0D6000</v>
      </c>
      <c r="C16" s="508">
        <f>('t1'!L16+'t1'!M16)</f>
        <v>0</v>
      </c>
      <c r="D16" s="403">
        <f>'t5'!Q17+'t5'!R17</f>
        <v>0</v>
      </c>
      <c r="E16" s="403">
        <f>'t4'!AT16</f>
        <v>0</v>
      </c>
      <c r="F16" s="512">
        <f>'t12'!C16</f>
        <v>0</v>
      </c>
      <c r="G16" s="429" t="str">
        <f t="shared" si="0"/>
        <v>OK</v>
      </c>
    </row>
    <row r="17" spans="1:7" ht="12.75">
      <c r="A17" s="147" t="str">
        <f>'t1'!A17</f>
        <v>POSIZ.ECON. D5 PROFILI ACCESSO D3</v>
      </c>
      <c r="B17" s="377" t="str">
        <f>'t1'!B17</f>
        <v>052486</v>
      </c>
      <c r="C17" s="508">
        <f>('t1'!L17+'t1'!M17)</f>
        <v>8</v>
      </c>
      <c r="D17" s="403">
        <f>'t5'!Q18+'t5'!R18</f>
        <v>5</v>
      </c>
      <c r="E17" s="403">
        <f>'t4'!AT17</f>
        <v>0</v>
      </c>
      <c r="F17" s="512">
        <f>'t12'!C17</f>
        <v>156</v>
      </c>
      <c r="G17" s="429" t="str">
        <f t="shared" si="0"/>
        <v>OK</v>
      </c>
    </row>
    <row r="18" spans="1:7" ht="12.75">
      <c r="A18" s="147" t="str">
        <f>'t1'!A18</f>
        <v>POSIZ.ECON. D5 PROFILI ACCESSO D1</v>
      </c>
      <c r="B18" s="377" t="str">
        <f>'t1'!B18</f>
        <v>052487</v>
      </c>
      <c r="C18" s="508">
        <f>('t1'!L18+'t1'!M18)</f>
        <v>1</v>
      </c>
      <c r="D18" s="403">
        <f>'t5'!Q19+'t5'!R19</f>
        <v>0</v>
      </c>
      <c r="E18" s="403">
        <f>'t4'!AT18</f>
        <v>0</v>
      </c>
      <c r="F18" s="512">
        <f>'t12'!C18</f>
        <v>12</v>
      </c>
      <c r="G18" s="429" t="str">
        <f t="shared" si="0"/>
        <v>OK</v>
      </c>
    </row>
    <row r="19" spans="1:7" ht="12.75">
      <c r="A19" s="147" t="str">
        <f>'t1'!A19</f>
        <v>POSIZ.ECON. D4 PROFILI ACCESSO D3</v>
      </c>
      <c r="B19" s="377" t="str">
        <f>'t1'!B19</f>
        <v>051488</v>
      </c>
      <c r="C19" s="508">
        <f>('t1'!L19+'t1'!M19)</f>
        <v>14</v>
      </c>
      <c r="D19" s="403">
        <f>'t5'!Q20+'t5'!R20</f>
        <v>3</v>
      </c>
      <c r="E19" s="403">
        <f>'t4'!AT19</f>
        <v>0</v>
      </c>
      <c r="F19" s="512">
        <f>'t12'!C19</f>
        <v>200</v>
      </c>
      <c r="G19" s="429" t="str">
        <f t="shared" si="0"/>
        <v>OK</v>
      </c>
    </row>
    <row r="20" spans="1:7" ht="12.75">
      <c r="A20" s="147" t="str">
        <f>'t1'!A20</f>
        <v>POSIZ.ECON. D4 PROFILI ACCESSO D1</v>
      </c>
      <c r="B20" s="377" t="str">
        <f>'t1'!B20</f>
        <v>051489</v>
      </c>
      <c r="C20" s="508">
        <f>('t1'!L20+'t1'!M20)</f>
        <v>3</v>
      </c>
      <c r="D20" s="403">
        <f>'t5'!Q21+'t5'!R21</f>
        <v>0</v>
      </c>
      <c r="E20" s="403">
        <f>'t4'!AT20</f>
        <v>0</v>
      </c>
      <c r="F20" s="512">
        <f>'t12'!C20</f>
        <v>36</v>
      </c>
      <c r="G20" s="429" t="str">
        <f t="shared" si="0"/>
        <v>OK</v>
      </c>
    </row>
    <row r="21" spans="1:7" ht="12.75">
      <c r="A21" s="147" t="str">
        <f>'t1'!A21</f>
        <v>POSIZIONE ECONOMICA DI ACCESSO D3</v>
      </c>
      <c r="B21" s="377" t="str">
        <f>'t1'!B21</f>
        <v>058000</v>
      </c>
      <c r="C21" s="508">
        <f>('t1'!L21+'t1'!M21)</f>
        <v>2</v>
      </c>
      <c r="D21" s="403">
        <f>'t5'!Q22+'t5'!R22</f>
        <v>1</v>
      </c>
      <c r="E21" s="403">
        <f>'t4'!AT21</f>
        <v>0</v>
      </c>
      <c r="F21" s="512">
        <f>'t12'!C21</f>
        <v>36</v>
      </c>
      <c r="G21" s="429" t="str">
        <f t="shared" si="0"/>
        <v>OK</v>
      </c>
    </row>
    <row r="22" spans="1:7" ht="12.75">
      <c r="A22" s="147" t="str">
        <f>'t1'!A22</f>
        <v>POSIZIONE ECONOMICA D3</v>
      </c>
      <c r="B22" s="377" t="str">
        <f>'t1'!B22</f>
        <v>050000</v>
      </c>
      <c r="C22" s="508">
        <f>('t1'!L22+'t1'!M22)</f>
        <v>12</v>
      </c>
      <c r="D22" s="403">
        <f>'t5'!Q23+'t5'!R23</f>
        <v>0</v>
      </c>
      <c r="E22" s="403">
        <f>'t4'!AT22</f>
        <v>0</v>
      </c>
      <c r="F22" s="512">
        <f>'t12'!C22</f>
        <v>144</v>
      </c>
      <c r="G22" s="429" t="str">
        <f t="shared" si="0"/>
        <v>OK</v>
      </c>
    </row>
    <row r="23" spans="1:7" ht="12.75">
      <c r="A23" s="147" t="str">
        <f>'t1'!A23</f>
        <v>POSIZIONE ECONOMICA D2</v>
      </c>
      <c r="B23" s="377" t="str">
        <f>'t1'!B23</f>
        <v>049000</v>
      </c>
      <c r="C23" s="508">
        <f>('t1'!L23+'t1'!M23)</f>
        <v>40</v>
      </c>
      <c r="D23" s="403">
        <f>'t5'!Q24+'t5'!R24</f>
        <v>0</v>
      </c>
      <c r="E23" s="403">
        <f>'t4'!AT23</f>
        <v>0</v>
      </c>
      <c r="F23" s="512">
        <f>'t12'!C23</f>
        <v>480</v>
      </c>
      <c r="G23" s="429" t="str">
        <f t="shared" si="0"/>
        <v>OK</v>
      </c>
    </row>
    <row r="24" spans="1:7" ht="12.75">
      <c r="A24" s="147" t="str">
        <f>'t1'!A24</f>
        <v>POSIZIONE ECONOMICA DI ACCESSO D1</v>
      </c>
      <c r="B24" s="377" t="str">
        <f>'t1'!B24</f>
        <v>057000</v>
      </c>
      <c r="C24" s="508">
        <f>('t1'!L24+'t1'!M24)</f>
        <v>3</v>
      </c>
      <c r="D24" s="403">
        <f>'t5'!Q25+'t5'!R25</f>
        <v>0</v>
      </c>
      <c r="E24" s="403">
        <f>'t4'!AT24</f>
        <v>0</v>
      </c>
      <c r="F24" s="512">
        <f>'t12'!C24</f>
        <v>36</v>
      </c>
      <c r="G24" s="429" t="str">
        <f t="shared" si="0"/>
        <v>OK</v>
      </c>
    </row>
    <row r="25" spans="1:7" ht="12.75">
      <c r="A25" s="147" t="str">
        <f>'t1'!A25</f>
        <v>POSIZIONE ECONOMICA C5</v>
      </c>
      <c r="B25" s="377" t="str">
        <f>'t1'!B25</f>
        <v>046000</v>
      </c>
      <c r="C25" s="508">
        <f>('t1'!L25+'t1'!M25)</f>
        <v>4</v>
      </c>
      <c r="D25" s="403">
        <f>'t5'!Q26+'t5'!R26</f>
        <v>1</v>
      </c>
      <c r="E25" s="403">
        <f>'t4'!AT25</f>
        <v>0</v>
      </c>
      <c r="F25" s="512">
        <f>'t12'!C25</f>
        <v>50.27</v>
      </c>
      <c r="G25" s="429" t="str">
        <f t="shared" si="0"/>
        <v>OK</v>
      </c>
    </row>
    <row r="26" spans="1:7" ht="12.75">
      <c r="A26" s="147" t="str">
        <f>'t1'!A26</f>
        <v>POSIZIONE ECONOMICA C4</v>
      </c>
      <c r="B26" s="377" t="str">
        <f>'t1'!B26</f>
        <v>045000</v>
      </c>
      <c r="C26" s="508">
        <f>('t1'!L26+'t1'!M26)</f>
        <v>20</v>
      </c>
      <c r="D26" s="403">
        <f>'t5'!Q27+'t5'!R27</f>
        <v>0</v>
      </c>
      <c r="E26" s="403">
        <f>'t4'!AT26</f>
        <v>0</v>
      </c>
      <c r="F26" s="512">
        <f>'t12'!C26</f>
        <v>241</v>
      </c>
      <c r="G26" s="429" t="str">
        <f t="shared" si="0"/>
        <v>OK</v>
      </c>
    </row>
    <row r="27" spans="1:7" ht="12.75">
      <c r="A27" s="147" t="str">
        <f>'t1'!A27</f>
        <v>POSIZIONE ECONOMICA C3</v>
      </c>
      <c r="B27" s="377" t="str">
        <f>'t1'!B27</f>
        <v>043000</v>
      </c>
      <c r="C27" s="508">
        <f>('t1'!L27+'t1'!M27)</f>
        <v>31</v>
      </c>
      <c r="D27" s="403">
        <f>'t5'!Q28+'t5'!R28</f>
        <v>0</v>
      </c>
      <c r="E27" s="403">
        <f>'t4'!AT27</f>
        <v>0</v>
      </c>
      <c r="F27" s="512">
        <f>'t12'!C27</f>
        <v>372</v>
      </c>
      <c r="G27" s="429" t="str">
        <f t="shared" si="0"/>
        <v>OK</v>
      </c>
    </row>
    <row r="28" spans="1:7" ht="12.75">
      <c r="A28" s="147" t="str">
        <f>'t1'!A28</f>
        <v>POSIZIONE ECONOMICA C2</v>
      </c>
      <c r="B28" s="377" t="str">
        <f>'t1'!B28</f>
        <v>042000</v>
      </c>
      <c r="C28" s="508">
        <f>('t1'!L28+'t1'!M28)</f>
        <v>39</v>
      </c>
      <c r="D28" s="403">
        <f>'t5'!Q29+'t5'!R29</f>
        <v>0</v>
      </c>
      <c r="E28" s="403">
        <f>'t4'!AT28</f>
        <v>0</v>
      </c>
      <c r="F28" s="512">
        <f>'t12'!C28</f>
        <v>467</v>
      </c>
      <c r="G28" s="429" t="str">
        <f t="shared" si="0"/>
        <v>OK</v>
      </c>
    </row>
    <row r="29" spans="1:7" ht="12.75">
      <c r="A29" s="147" t="str">
        <f>'t1'!A29</f>
        <v>POSIZIONE ECONOMICA DI ACCESSO C1</v>
      </c>
      <c r="B29" s="377" t="str">
        <f>'t1'!B29</f>
        <v>056000</v>
      </c>
      <c r="C29" s="508">
        <f>('t1'!L29+'t1'!M29)</f>
        <v>0</v>
      </c>
      <c r="D29" s="403">
        <f>'t5'!Q30+'t5'!R30</f>
        <v>1</v>
      </c>
      <c r="E29" s="403">
        <f>'t4'!AT29</f>
        <v>0</v>
      </c>
      <c r="F29" s="512">
        <f>'t12'!C29</f>
        <v>9</v>
      </c>
      <c r="G29" s="429" t="str">
        <f t="shared" si="0"/>
        <v>OK</v>
      </c>
    </row>
    <row r="30" spans="1:7" ht="12.75">
      <c r="A30" s="147" t="str">
        <f>'t1'!A30</f>
        <v>POSIZ. ECON. B7 - PROFILO ACCESSO B3</v>
      </c>
      <c r="B30" s="377" t="str">
        <f>'t1'!B30</f>
        <v>0B7A00</v>
      </c>
      <c r="C30" s="508">
        <f>('t1'!L30+'t1'!M30)</f>
        <v>0</v>
      </c>
      <c r="D30" s="403">
        <f>'t5'!Q31+'t5'!R31</f>
        <v>0</v>
      </c>
      <c r="E30" s="403">
        <f>'t4'!AT30</f>
        <v>0</v>
      </c>
      <c r="F30" s="512">
        <f>'t12'!C30</f>
        <v>0</v>
      </c>
      <c r="G30" s="429" t="str">
        <f t="shared" si="0"/>
        <v>OK</v>
      </c>
    </row>
    <row r="31" spans="1:7" ht="12.75">
      <c r="A31" s="147" t="str">
        <f>'t1'!A31</f>
        <v>POSIZ. ECON. B7 - PROFILO  ACCESSO B1</v>
      </c>
      <c r="B31" s="377" t="str">
        <f>'t1'!B31</f>
        <v>0B7000</v>
      </c>
      <c r="C31" s="508">
        <f>('t1'!L31+'t1'!M31)</f>
        <v>0</v>
      </c>
      <c r="D31" s="403">
        <f>'t5'!Q32+'t5'!R32</f>
        <v>0</v>
      </c>
      <c r="E31" s="403">
        <f>'t4'!AT31</f>
        <v>0</v>
      </c>
      <c r="F31" s="512">
        <f>'t12'!C31</f>
        <v>0</v>
      </c>
      <c r="G31" s="429" t="str">
        <f t="shared" si="0"/>
        <v>OK</v>
      </c>
    </row>
    <row r="32" spans="1:7" ht="12.75">
      <c r="A32" s="147" t="str">
        <f>'t1'!A32</f>
        <v>POSIZ.ECON. B6 PROFILI ACCESSO B3</v>
      </c>
      <c r="B32" s="377" t="str">
        <f>'t1'!B32</f>
        <v>038490</v>
      </c>
      <c r="C32" s="508">
        <f>('t1'!L32+'t1'!M32)</f>
        <v>0</v>
      </c>
      <c r="D32" s="403">
        <f>'t5'!Q33+'t5'!R33</f>
        <v>0</v>
      </c>
      <c r="E32" s="403">
        <f>'t4'!AT32</f>
        <v>0</v>
      </c>
      <c r="F32" s="512">
        <f>'t12'!C32</f>
        <v>0</v>
      </c>
      <c r="G32" s="429" t="str">
        <f t="shared" si="0"/>
        <v>OK</v>
      </c>
    </row>
    <row r="33" spans="1:7" ht="12.75">
      <c r="A33" s="147" t="str">
        <f>'t1'!A33</f>
        <v>POSIZ.ECON. B6 PROFILI ACCESSO B1</v>
      </c>
      <c r="B33" s="377" t="str">
        <f>'t1'!B33</f>
        <v>038491</v>
      </c>
      <c r="C33" s="508">
        <f>('t1'!L33+'t1'!M33)</f>
        <v>0</v>
      </c>
      <c r="D33" s="403">
        <f>'t5'!Q34+'t5'!R34</f>
        <v>0</v>
      </c>
      <c r="E33" s="403">
        <f>'t4'!AT33</f>
        <v>0</v>
      </c>
      <c r="F33" s="512">
        <f>'t12'!C33</f>
        <v>0</v>
      </c>
      <c r="G33" s="429" t="str">
        <f t="shared" si="0"/>
        <v>OK</v>
      </c>
    </row>
    <row r="34" spans="1:7" ht="12.75">
      <c r="A34" s="147" t="str">
        <f>'t1'!A34</f>
        <v>POSIZ.ECON. B5 PROFILI ACCESSO B3</v>
      </c>
      <c r="B34" s="377" t="str">
        <f>'t1'!B34</f>
        <v>037492</v>
      </c>
      <c r="C34" s="508">
        <f>('t1'!L34+'t1'!M34)</f>
        <v>1</v>
      </c>
      <c r="D34" s="403">
        <f>'t5'!Q35+'t5'!R35</f>
        <v>0</v>
      </c>
      <c r="E34" s="403">
        <f>'t4'!AT34</f>
        <v>1</v>
      </c>
      <c r="F34" s="512">
        <f>'t12'!C34</f>
        <v>1</v>
      </c>
      <c r="G34" s="429" t="str">
        <f t="shared" si="0"/>
        <v>OK</v>
      </c>
    </row>
    <row r="35" spans="1:7" ht="12.75">
      <c r="A35" s="147" t="str">
        <f>'t1'!A35</f>
        <v>POSIZ.ECON. B5 PROFILI ACCESSO B1</v>
      </c>
      <c r="B35" s="377" t="str">
        <f>'t1'!B35</f>
        <v>037493</v>
      </c>
      <c r="C35" s="508">
        <f>('t1'!L35+'t1'!M35)</f>
        <v>0</v>
      </c>
      <c r="D35" s="403">
        <f>'t5'!Q36+'t5'!R36</f>
        <v>0</v>
      </c>
      <c r="E35" s="403">
        <f>'t4'!AT35</f>
        <v>0</v>
      </c>
      <c r="F35" s="512">
        <f>'t12'!C35</f>
        <v>0</v>
      </c>
      <c r="G35" s="429" t="str">
        <f t="shared" si="0"/>
        <v>OK</v>
      </c>
    </row>
    <row r="36" spans="1:7" ht="12.75">
      <c r="A36" s="147" t="str">
        <f>'t1'!A36</f>
        <v>POSIZ.ECON. B4 PROFILI ACCESSO B3</v>
      </c>
      <c r="B36" s="377" t="str">
        <f>'t1'!B36</f>
        <v>036494</v>
      </c>
      <c r="C36" s="508">
        <f>('t1'!L36+'t1'!M36)</f>
        <v>30</v>
      </c>
      <c r="D36" s="403">
        <f>'t5'!Q37+'t5'!R37</f>
        <v>0</v>
      </c>
      <c r="E36" s="403">
        <f>'t4'!AT36</f>
        <v>1</v>
      </c>
      <c r="F36" s="512">
        <f>'t12'!C36</f>
        <v>371</v>
      </c>
      <c r="G36" s="429" t="str">
        <f t="shared" si="0"/>
        <v>OK</v>
      </c>
    </row>
    <row r="37" spans="1:7" ht="12.75">
      <c r="A37" s="147" t="str">
        <f>'t1'!A37</f>
        <v>POSIZ.ECON. B4 PROFILI ACCESSO B1</v>
      </c>
      <c r="B37" s="377" t="str">
        <f>'t1'!B37</f>
        <v>036495</v>
      </c>
      <c r="C37" s="508">
        <f>('t1'!L37+'t1'!M37)</f>
        <v>2</v>
      </c>
      <c r="D37" s="403">
        <f>'t5'!Q38+'t5'!R38</f>
        <v>0</v>
      </c>
      <c r="E37" s="403">
        <f>'t4'!AT37</f>
        <v>0</v>
      </c>
      <c r="F37" s="512">
        <f>'t12'!C37</f>
        <v>24</v>
      </c>
      <c r="G37" s="429" t="str">
        <f t="shared" si="0"/>
        <v>OK</v>
      </c>
    </row>
    <row r="38" spans="1:7" ht="12.75">
      <c r="A38" s="147" t="str">
        <f>'t1'!A38</f>
        <v>POSIZIONE ECONOMICA DI ACCESSO B3</v>
      </c>
      <c r="B38" s="377" t="str">
        <f>'t1'!B38</f>
        <v>055000</v>
      </c>
      <c r="C38" s="508">
        <f>('t1'!L38+'t1'!M38)</f>
        <v>12</v>
      </c>
      <c r="D38" s="403">
        <f>'t5'!Q39+'t5'!R39</f>
        <v>1</v>
      </c>
      <c r="E38" s="403">
        <f>'t4'!AT38</f>
        <v>0</v>
      </c>
      <c r="F38" s="512">
        <f>'t12'!C38</f>
        <v>144.88</v>
      </c>
      <c r="G38" s="429" t="str">
        <f t="shared" si="0"/>
        <v>OK</v>
      </c>
    </row>
    <row r="39" spans="1:7" ht="12.75">
      <c r="A39" s="147" t="str">
        <f>'t1'!A39</f>
        <v>POSIZIONE ECONOMICA B3</v>
      </c>
      <c r="B39" s="377" t="str">
        <f>'t1'!B39</f>
        <v>034000</v>
      </c>
      <c r="C39" s="508">
        <f>('t1'!L39+'t1'!M39)</f>
        <v>13</v>
      </c>
      <c r="D39" s="403">
        <f>'t5'!Q40+'t5'!R40</f>
        <v>0</v>
      </c>
      <c r="E39" s="403">
        <f>'t4'!AT39</f>
        <v>0</v>
      </c>
      <c r="F39" s="512">
        <f>'t12'!C39</f>
        <v>156</v>
      </c>
      <c r="G39" s="429" t="str">
        <f t="shared" si="0"/>
        <v>OK</v>
      </c>
    </row>
    <row r="40" spans="1:7" ht="12.75">
      <c r="A40" s="147" t="str">
        <f>'t1'!A40</f>
        <v>POSIZIONE ECONOMICA B2</v>
      </c>
      <c r="B40" s="377" t="str">
        <f>'t1'!B40</f>
        <v>032000</v>
      </c>
      <c r="C40" s="508">
        <f>('t1'!L40+'t1'!M40)</f>
        <v>10</v>
      </c>
      <c r="D40" s="403">
        <f>'t5'!Q41+'t5'!R41</f>
        <v>0</v>
      </c>
      <c r="E40" s="403">
        <f>'t4'!AT40</f>
        <v>0</v>
      </c>
      <c r="F40" s="512">
        <f>'t12'!C40</f>
        <v>120</v>
      </c>
      <c r="G40" s="429" t="str">
        <f t="shared" si="0"/>
        <v>OK</v>
      </c>
    </row>
    <row r="41" spans="1:7" ht="12.75">
      <c r="A41" s="147" t="str">
        <f>'t1'!A41</f>
        <v>POSIZIONE ECONOMICA DI ACCESSO B1</v>
      </c>
      <c r="B41" s="377" t="str">
        <f>'t1'!B41</f>
        <v>054000</v>
      </c>
      <c r="C41" s="508">
        <f>('t1'!L41+'t1'!M41)</f>
        <v>1</v>
      </c>
      <c r="D41" s="403">
        <f>'t5'!Q42+'t5'!R42</f>
        <v>0</v>
      </c>
      <c r="E41" s="403">
        <f>'t4'!AT41</f>
        <v>0</v>
      </c>
      <c r="F41" s="512">
        <f>'t12'!C41</f>
        <v>12</v>
      </c>
      <c r="G41" s="429" t="str">
        <f t="shared" si="0"/>
        <v>OK</v>
      </c>
    </row>
    <row r="42" spans="1:7" ht="12.75">
      <c r="A42" s="147" t="str">
        <f>'t1'!A42</f>
        <v>POSIZIONE ECONOMICA A5</v>
      </c>
      <c r="B42" s="377" t="str">
        <f>'t1'!B42</f>
        <v>0A5000</v>
      </c>
      <c r="C42" s="508">
        <f>('t1'!L42+'t1'!M42)</f>
        <v>0</v>
      </c>
      <c r="D42" s="403">
        <f>'t5'!Q43+'t5'!R43</f>
        <v>0</v>
      </c>
      <c r="E42" s="403">
        <f>'t4'!AT42</f>
        <v>0</v>
      </c>
      <c r="F42" s="512">
        <f>'t12'!C42</f>
        <v>0</v>
      </c>
      <c r="G42" s="429" t="str">
        <f t="shared" si="0"/>
        <v>OK</v>
      </c>
    </row>
    <row r="43" spans="1:7" ht="12.75">
      <c r="A43" s="147" t="str">
        <f>'t1'!A43</f>
        <v>POSIZIONE ECONOMICA A4</v>
      </c>
      <c r="B43" s="377" t="str">
        <f>'t1'!B43</f>
        <v>028000</v>
      </c>
      <c r="C43" s="508">
        <f>('t1'!L43+'t1'!M43)</f>
        <v>0</v>
      </c>
      <c r="D43" s="403">
        <f>'t5'!Q44+'t5'!R44</f>
        <v>0</v>
      </c>
      <c r="E43" s="403">
        <f>'t4'!AT43</f>
        <v>0</v>
      </c>
      <c r="F43" s="512">
        <f>'t12'!C43</f>
        <v>0</v>
      </c>
      <c r="G43" s="429" t="str">
        <f t="shared" si="0"/>
        <v>OK</v>
      </c>
    </row>
    <row r="44" spans="1:7" ht="12.75">
      <c r="A44" s="147" t="str">
        <f>'t1'!A44</f>
        <v>POSIZIONE ECONOMICA A3</v>
      </c>
      <c r="B44" s="377" t="str">
        <f>'t1'!B44</f>
        <v>027000</v>
      </c>
      <c r="C44" s="508">
        <f>('t1'!L44+'t1'!M44)</f>
        <v>0</v>
      </c>
      <c r="D44" s="403">
        <f>'t5'!Q45+'t5'!R45</f>
        <v>0</v>
      </c>
      <c r="E44" s="403">
        <f>'t4'!AT44</f>
        <v>0</v>
      </c>
      <c r="F44" s="512">
        <f>'t12'!C44</f>
        <v>0</v>
      </c>
      <c r="G44" s="429" t="str">
        <f t="shared" si="0"/>
        <v>OK</v>
      </c>
    </row>
    <row r="45" spans="1:7" ht="12.75">
      <c r="A45" s="147" t="str">
        <f>'t1'!A45</f>
        <v>POSIZIONE ECONOMICA A2</v>
      </c>
      <c r="B45" s="377" t="str">
        <f>'t1'!B45</f>
        <v>025000</v>
      </c>
      <c r="C45" s="508">
        <f>('t1'!L45+'t1'!M45)</f>
        <v>0</v>
      </c>
      <c r="D45" s="403">
        <f>'t5'!Q46+'t5'!R46</f>
        <v>0</v>
      </c>
      <c r="E45" s="403">
        <f>'t4'!AT45</f>
        <v>0</v>
      </c>
      <c r="F45" s="512">
        <f>'t12'!C45</f>
        <v>0</v>
      </c>
      <c r="G45" s="429" t="str">
        <f t="shared" si="0"/>
        <v>OK</v>
      </c>
    </row>
    <row r="46" spans="1:7" ht="12.75">
      <c r="A46" s="147" t="str">
        <f>'t1'!A46</f>
        <v>POSIZIONE ECONOMICA DI ACCESSO A1</v>
      </c>
      <c r="B46" s="377" t="str">
        <f>'t1'!B46</f>
        <v>053000</v>
      </c>
      <c r="C46" s="508">
        <f>('t1'!L46+'t1'!M46)</f>
        <v>1</v>
      </c>
      <c r="D46" s="403">
        <f>'t5'!Q47+'t5'!R47</f>
        <v>0</v>
      </c>
      <c r="E46" s="403">
        <f>'t4'!AT46</f>
        <v>0</v>
      </c>
      <c r="F46" s="512">
        <f>'t12'!C46</f>
        <v>12</v>
      </c>
      <c r="G46" s="429" t="str">
        <f t="shared" si="0"/>
        <v>OK</v>
      </c>
    </row>
    <row r="47" spans="1:7" ht="12.75">
      <c r="A47" s="147" t="str">
        <f>'t1'!A47</f>
        <v>CONTRATTISTI (a)</v>
      </c>
      <c r="B47" s="377" t="str">
        <f>'t1'!B47</f>
        <v>000061</v>
      </c>
      <c r="C47" s="508">
        <f>('t1'!L47+'t1'!M47)</f>
        <v>2</v>
      </c>
      <c r="D47" s="403">
        <f>'t5'!Q48+'t5'!R48</f>
        <v>0</v>
      </c>
      <c r="E47" s="403">
        <f>'t4'!AT47</f>
        <v>0</v>
      </c>
      <c r="F47" s="512">
        <f>'t12'!C47</f>
        <v>24</v>
      </c>
      <c r="G47" s="429" t="str">
        <f t="shared" si="0"/>
        <v>OK</v>
      </c>
    </row>
    <row r="48" spans="1:7" ht="12.75">
      <c r="A48" s="147" t="str">
        <f>'t1'!A48</f>
        <v>COLLABORATORE A TEMPO DETERMIN. (b)</v>
      </c>
      <c r="B48" s="377" t="str">
        <f>'t1'!B48</f>
        <v>000096</v>
      </c>
      <c r="C48" s="508">
        <f>('t1'!L48+'t1'!M48)</f>
        <v>0</v>
      </c>
      <c r="D48" s="403">
        <f>'t5'!Q49+'t5'!R49</f>
        <v>0</v>
      </c>
      <c r="E48" s="403">
        <f>'t4'!AT48</f>
        <v>0</v>
      </c>
      <c r="F48" s="512">
        <f>'t12'!C48</f>
        <v>0</v>
      </c>
      <c r="G48" s="429" t="str">
        <f t="shared" si="0"/>
        <v>OK</v>
      </c>
    </row>
  </sheetData>
  <sheetProtection password="EA98" sheet="1" formatColumns="0" selectLockedCells="1" selectUnlockedCells="1"/>
  <mergeCells count="2">
    <mergeCell ref="A1:G1"/>
    <mergeCell ref="D2:G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horizontalDpi="600" verticalDpi="600" orientation="landscape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oglio31">
    <pageSetUpPr fitToPage="1"/>
  </sheetPr>
  <dimension ref="A1:I48"/>
  <sheetViews>
    <sheetView showGridLines="0" zoomScalePageLayoutView="0" workbookViewId="0" topLeftCell="A1">
      <pane ySplit="5" topLeftCell="A39" activePane="bottomLeft" state="frozen"/>
      <selection pane="topLeft" activeCell="E8" sqref="E8:G8"/>
      <selection pane="bottomLeft" activeCell="A2" sqref="A2"/>
    </sheetView>
  </sheetViews>
  <sheetFormatPr defaultColWidth="9.33203125" defaultRowHeight="10.5"/>
  <cols>
    <col min="1" max="1" width="37.33203125" style="5" customWidth="1"/>
    <col min="2" max="2" width="11.33203125" style="7" customWidth="1"/>
    <col min="3" max="3" width="17.83203125" style="7" customWidth="1"/>
    <col min="4" max="4" width="26.66015625" style="427" customWidth="1"/>
    <col min="5" max="5" width="15.83203125" style="7" customWidth="1"/>
    <col min="6" max="6" width="9.33203125" style="116" customWidth="1"/>
  </cols>
  <sheetData>
    <row r="1" spans="1:9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G1" s="3"/>
      <c r="I1"/>
    </row>
    <row r="2" spans="3:9" s="5" customFormat="1" ht="12.75" customHeight="1">
      <c r="C2" s="1496"/>
      <c r="D2" s="1496"/>
      <c r="E2" s="1496"/>
      <c r="F2" s="374"/>
      <c r="G2" s="3"/>
      <c r="I2"/>
    </row>
    <row r="3" spans="1:5" s="5" customFormat="1" ht="21" customHeight="1">
      <c r="A3" s="215" t="s">
        <v>655</v>
      </c>
      <c r="B3" s="7"/>
      <c r="D3" s="428"/>
      <c r="E3" s="7"/>
    </row>
    <row r="4" spans="1:5" ht="81.75" customHeight="1">
      <c r="A4" s="200" t="s">
        <v>250</v>
      </c>
      <c r="B4" s="202" t="s">
        <v>212</v>
      </c>
      <c r="C4" s="201" t="s">
        <v>360</v>
      </c>
      <c r="D4" s="510" t="s">
        <v>481</v>
      </c>
      <c r="E4" s="201" t="s">
        <v>442</v>
      </c>
    </row>
    <row r="5" spans="1:6" s="219" customFormat="1" ht="10.5">
      <c r="A5" s="199"/>
      <c r="B5" s="213"/>
      <c r="C5" s="217" t="s">
        <v>214</v>
      </c>
      <c r="D5" s="511" t="s">
        <v>215</v>
      </c>
      <c r="E5" s="217"/>
      <c r="F5" s="218"/>
    </row>
    <row r="6" spans="1:5" ht="12.75">
      <c r="A6" s="147" t="str">
        <f>'t1'!A6</f>
        <v>SEGRETARIO A</v>
      </c>
      <c r="B6" s="377" t="str">
        <f>'t1'!B6</f>
        <v>0D0102</v>
      </c>
      <c r="C6" s="403">
        <f>'t13'!P6</f>
        <v>100281</v>
      </c>
      <c r="D6" s="512">
        <f>('t3'!M6+'t3'!N6+'t3'!O6+'t3'!P6+'t3'!Q6+'t3'!R6)+('t12'!C6/12)</f>
        <v>1</v>
      </c>
      <c r="E6" s="429" t="str">
        <f>IF(OR((NOT(C6)),(AND(C6&gt;=0,D6&gt;0))),"OK","ERRORE")</f>
        <v>OK</v>
      </c>
    </row>
    <row r="7" spans="1:5" ht="12.75">
      <c r="A7" s="147" t="str">
        <f>'t1'!A7</f>
        <v>SEGRETARIO B</v>
      </c>
      <c r="B7" s="377" t="str">
        <f>'t1'!B7</f>
        <v>0D0103</v>
      </c>
      <c r="C7" s="403">
        <f>'t13'!P7</f>
        <v>0</v>
      </c>
      <c r="D7" s="512">
        <f>('t3'!M7+'t3'!N7+'t3'!O7+'t3'!P7+'t3'!Q7+'t3'!R7)+('t12'!C7/12)</f>
        <v>0</v>
      </c>
      <c r="E7" s="429" t="str">
        <f aca="true" t="shared" si="0" ref="E7:E48">IF(OR((NOT(C7)),(AND(C7&gt;=0,D7&gt;0))),"OK","ERRORE")</f>
        <v>OK</v>
      </c>
    </row>
    <row r="8" spans="1:5" ht="12.75">
      <c r="A8" s="147" t="str">
        <f>'t1'!A8</f>
        <v>SEGRETARIO C</v>
      </c>
      <c r="B8" s="377" t="str">
        <f>'t1'!B8</f>
        <v>0D0485</v>
      </c>
      <c r="C8" s="403">
        <f>'t13'!P8</f>
        <v>0</v>
      </c>
      <c r="D8" s="512">
        <f>('t3'!M8+'t3'!N8+'t3'!O8+'t3'!P8+'t3'!Q8+'t3'!R8)+('t12'!C8/12)</f>
        <v>0</v>
      </c>
      <c r="E8" s="429" t="str">
        <f t="shared" si="0"/>
        <v>OK</v>
      </c>
    </row>
    <row r="9" spans="1:5" ht="12.75">
      <c r="A9" s="147" t="str">
        <f>'t1'!A9</f>
        <v>SEGRETARIO GENERALE CCIAA</v>
      </c>
      <c r="B9" s="377" t="str">
        <f>'t1'!B9</f>
        <v>0D0104</v>
      </c>
      <c r="C9" s="403">
        <f>'t13'!P9</f>
        <v>0</v>
      </c>
      <c r="D9" s="512">
        <f>('t3'!M9+'t3'!N9+'t3'!O9+'t3'!P9+'t3'!Q9+'t3'!R9)+('t12'!C9/12)</f>
        <v>0</v>
      </c>
      <c r="E9" s="429" t="str">
        <f t="shared" si="0"/>
        <v>OK</v>
      </c>
    </row>
    <row r="10" spans="1:5" ht="12.75">
      <c r="A10" s="147" t="str">
        <f>'t1'!A10</f>
        <v>DIRETTORE  GENERALE</v>
      </c>
      <c r="B10" s="377" t="str">
        <f>'t1'!B10</f>
        <v>0D0097</v>
      </c>
      <c r="C10" s="403">
        <f>'t13'!P10</f>
        <v>0</v>
      </c>
      <c r="D10" s="512">
        <f>('t3'!M10+'t3'!N10+'t3'!O10+'t3'!P10+'t3'!Q10+'t3'!R10)+('t12'!C10/12)</f>
        <v>0</v>
      </c>
      <c r="E10" s="429" t="str">
        <f t="shared" si="0"/>
        <v>OK</v>
      </c>
    </row>
    <row r="11" spans="1:5" ht="12.75">
      <c r="A11" s="147" t="str">
        <f>'t1'!A11</f>
        <v>DIRIGENTE FUORI D.O.</v>
      </c>
      <c r="B11" s="377" t="str">
        <f>'t1'!B11</f>
        <v>0D0098</v>
      </c>
      <c r="C11" s="403">
        <f>'t13'!P11</f>
        <v>0</v>
      </c>
      <c r="D11" s="512">
        <f>('t3'!M11+'t3'!N11+'t3'!O11+'t3'!P11+'t3'!Q11+'t3'!R11)+('t12'!C11/12)</f>
        <v>0</v>
      </c>
      <c r="E11" s="429" t="str">
        <f t="shared" si="0"/>
        <v>OK</v>
      </c>
    </row>
    <row r="12" spans="1:5" ht="12.75">
      <c r="A12" s="147" t="str">
        <f>'t1'!A12</f>
        <v>ALTE SPECIALIZZ. FUORI D.O.</v>
      </c>
      <c r="B12" s="377" t="str">
        <f>'t1'!B12</f>
        <v>0D0095</v>
      </c>
      <c r="C12" s="403">
        <f>'t13'!P12</f>
        <v>0</v>
      </c>
      <c r="D12" s="512">
        <f>('t3'!M12+'t3'!N12+'t3'!O12+'t3'!P12+'t3'!Q12+'t3'!R12)+('t12'!C12/12)</f>
        <v>0</v>
      </c>
      <c r="E12" s="429" t="str">
        <f t="shared" si="0"/>
        <v>OK</v>
      </c>
    </row>
    <row r="13" spans="1:5" ht="12.75">
      <c r="A13" s="147" t="str">
        <f>'t1'!A13</f>
        <v>QUALIFICA DIRIGENZIALE TEMPO INDET.</v>
      </c>
      <c r="B13" s="377" t="str">
        <f>'t1'!B13</f>
        <v>0D0100</v>
      </c>
      <c r="C13" s="403">
        <f>'t13'!P13</f>
        <v>55766</v>
      </c>
      <c r="D13" s="512">
        <f>('t3'!M13+'t3'!N13+'t3'!O13+'t3'!P13+'t3'!Q13+'t3'!R13)+('t12'!C13/12)</f>
        <v>1</v>
      </c>
      <c r="E13" s="429" t="str">
        <f t="shared" si="0"/>
        <v>OK</v>
      </c>
    </row>
    <row r="14" spans="1:5" ht="12.75">
      <c r="A14" s="147" t="str">
        <f>'t1'!A14</f>
        <v>QUALIFICA DIRIGENZIALE TEMPO DETER.</v>
      </c>
      <c r="B14" s="377" t="str">
        <f>'t1'!B14</f>
        <v>0D0099</v>
      </c>
      <c r="C14" s="403">
        <f>'t13'!P14</f>
        <v>89591</v>
      </c>
      <c r="D14" s="512">
        <f>('t3'!M14+'t3'!N14+'t3'!O14+'t3'!P14+'t3'!Q14+'t3'!R14)+('t12'!C14/12)</f>
        <v>2.0591666666666666</v>
      </c>
      <c r="E14" s="429" t="str">
        <f t="shared" si="0"/>
        <v>OK</v>
      </c>
    </row>
    <row r="15" spans="1:5" ht="12.75">
      <c r="A15" s="147" t="str">
        <f>'t1'!A15</f>
        <v>POSIZ. ECON. D6 - PROFILI ACCESSO D3</v>
      </c>
      <c r="B15" s="377" t="str">
        <f>'t1'!B15</f>
        <v>0D6A00</v>
      </c>
      <c r="C15" s="403">
        <f>'t13'!P15</f>
        <v>105554</v>
      </c>
      <c r="D15" s="512">
        <f>('t3'!M15+'t3'!N15+'t3'!O15+'t3'!P15+'t3'!Q15+'t3'!R15)+('t12'!C15/12)</f>
        <v>9</v>
      </c>
      <c r="E15" s="429" t="str">
        <f t="shared" si="0"/>
        <v>OK</v>
      </c>
    </row>
    <row r="16" spans="1:5" ht="12.75">
      <c r="A16" s="147" t="str">
        <f>'t1'!A16</f>
        <v>POSIZ. ECON. D6 - PROFILO ACCESSO D1</v>
      </c>
      <c r="B16" s="377" t="str">
        <f>'t1'!B16</f>
        <v>0D6000</v>
      </c>
      <c r="C16" s="403">
        <f>'t13'!P16</f>
        <v>0</v>
      </c>
      <c r="D16" s="512">
        <f>('t3'!M16+'t3'!N16+'t3'!O16+'t3'!P16+'t3'!Q16+'t3'!R16)+('t12'!C16/12)</f>
        <v>0</v>
      </c>
      <c r="E16" s="429" t="str">
        <f t="shared" si="0"/>
        <v>OK</v>
      </c>
    </row>
    <row r="17" spans="1:5" ht="12.75">
      <c r="A17" s="147" t="str">
        <f>'t1'!A17</f>
        <v>POSIZ.ECON. D5 PROFILI ACCESSO D3</v>
      </c>
      <c r="B17" s="377" t="str">
        <f>'t1'!B17</f>
        <v>052486</v>
      </c>
      <c r="C17" s="403">
        <f>'t13'!P17</f>
        <v>244934</v>
      </c>
      <c r="D17" s="512">
        <f>('t3'!M17+'t3'!N17+'t3'!O17+'t3'!P17+'t3'!Q17+'t3'!R17)+('t12'!C17/12)</f>
        <v>13</v>
      </c>
      <c r="E17" s="429" t="str">
        <f t="shared" si="0"/>
        <v>OK</v>
      </c>
    </row>
    <row r="18" spans="1:5" ht="12.75">
      <c r="A18" s="147" t="str">
        <f>'t1'!A18</f>
        <v>POSIZ.ECON. D5 PROFILI ACCESSO D1</v>
      </c>
      <c r="B18" s="377" t="str">
        <f>'t1'!B18</f>
        <v>052487</v>
      </c>
      <c r="C18" s="403">
        <f>'t13'!P18</f>
        <v>2914</v>
      </c>
      <c r="D18" s="512">
        <f>('t3'!M18+'t3'!N18+'t3'!O18+'t3'!P18+'t3'!Q18+'t3'!R18)+('t12'!C18/12)</f>
        <v>1</v>
      </c>
      <c r="E18" s="429" t="str">
        <f t="shared" si="0"/>
        <v>OK</v>
      </c>
    </row>
    <row r="19" spans="1:5" ht="12.75">
      <c r="A19" s="147" t="str">
        <f>'t1'!A19</f>
        <v>POSIZ.ECON. D4 PROFILI ACCESSO D3</v>
      </c>
      <c r="B19" s="377" t="str">
        <f>'t1'!B19</f>
        <v>051488</v>
      </c>
      <c r="C19" s="403">
        <f>'t13'!P19</f>
        <v>194755</v>
      </c>
      <c r="D19" s="512">
        <f>('t3'!M19+'t3'!N19+'t3'!O19+'t3'!P19+'t3'!Q19+'t3'!R19)+('t12'!C19/12)</f>
        <v>16.666666666666668</v>
      </c>
      <c r="E19" s="429" t="str">
        <f t="shared" si="0"/>
        <v>OK</v>
      </c>
    </row>
    <row r="20" spans="1:5" ht="12.75">
      <c r="A20" s="147" t="str">
        <f>'t1'!A20</f>
        <v>POSIZ.ECON. D4 PROFILI ACCESSO D1</v>
      </c>
      <c r="B20" s="377" t="str">
        <f>'t1'!B20</f>
        <v>051489</v>
      </c>
      <c r="C20" s="403">
        <f>'t13'!P20</f>
        <v>12387</v>
      </c>
      <c r="D20" s="512">
        <f>('t3'!M20+'t3'!N20+'t3'!O20+'t3'!P20+'t3'!Q20+'t3'!R20)+('t12'!C20/12)</f>
        <v>3</v>
      </c>
      <c r="E20" s="429" t="str">
        <f t="shared" si="0"/>
        <v>OK</v>
      </c>
    </row>
    <row r="21" spans="1:5" ht="12.75">
      <c r="A21" s="147" t="str">
        <f>'t1'!A21</f>
        <v>POSIZIONE ECONOMICA DI ACCESSO D3</v>
      </c>
      <c r="B21" s="377" t="str">
        <f>'t1'!B21</f>
        <v>058000</v>
      </c>
      <c r="C21" s="403">
        <f>'t13'!P21</f>
        <v>20620</v>
      </c>
      <c r="D21" s="512">
        <f>('t3'!M21+'t3'!N21+'t3'!O21+'t3'!P21+'t3'!Q21+'t3'!R21)+('t12'!C21/12)</f>
        <v>3</v>
      </c>
      <c r="E21" s="429" t="str">
        <f t="shared" si="0"/>
        <v>OK</v>
      </c>
    </row>
    <row r="22" spans="1:5" ht="12.75">
      <c r="A22" s="147" t="str">
        <f>'t1'!A22</f>
        <v>POSIZIONE ECONOMICA D3</v>
      </c>
      <c r="B22" s="377" t="str">
        <f>'t1'!B22</f>
        <v>050000</v>
      </c>
      <c r="C22" s="403">
        <f>'t13'!P22</f>
        <v>107329</v>
      </c>
      <c r="D22" s="512">
        <f>('t3'!M22+'t3'!N22+'t3'!O22+'t3'!P22+'t3'!Q22+'t3'!R22)+('t12'!C22/12)</f>
        <v>12</v>
      </c>
      <c r="E22" s="429" t="str">
        <f t="shared" si="0"/>
        <v>OK</v>
      </c>
    </row>
    <row r="23" spans="1:5" ht="12.75">
      <c r="A23" s="147" t="str">
        <f>'t1'!A23</f>
        <v>POSIZIONE ECONOMICA D2</v>
      </c>
      <c r="B23" s="377" t="str">
        <f>'t1'!B23</f>
        <v>049000</v>
      </c>
      <c r="C23" s="403">
        <f>'t13'!P23</f>
        <v>273797</v>
      </c>
      <c r="D23" s="512">
        <f>('t3'!M23+'t3'!N23+'t3'!O23+'t3'!P23+'t3'!Q23+'t3'!R23)+('t12'!C23/12)</f>
        <v>40</v>
      </c>
      <c r="E23" s="429" t="str">
        <f t="shared" si="0"/>
        <v>OK</v>
      </c>
    </row>
    <row r="24" spans="1:5" ht="12.75">
      <c r="A24" s="147" t="str">
        <f>'t1'!A24</f>
        <v>POSIZIONE ECONOMICA DI ACCESSO D1</v>
      </c>
      <c r="B24" s="377" t="str">
        <f>'t1'!B24</f>
        <v>057000</v>
      </c>
      <c r="C24" s="403">
        <f>'t13'!P24</f>
        <v>40486</v>
      </c>
      <c r="D24" s="512">
        <f>('t3'!M24+'t3'!N24+'t3'!O24+'t3'!P24+'t3'!Q24+'t3'!R24)+('t12'!C24/12)</f>
        <v>3</v>
      </c>
      <c r="E24" s="429" t="str">
        <f t="shared" si="0"/>
        <v>OK</v>
      </c>
    </row>
    <row r="25" spans="1:5" ht="12.75">
      <c r="A25" s="147" t="str">
        <f>'t1'!A25</f>
        <v>POSIZIONE ECONOMICA C5</v>
      </c>
      <c r="B25" s="377" t="str">
        <f>'t1'!B25</f>
        <v>046000</v>
      </c>
      <c r="C25" s="403">
        <f>'t13'!P25</f>
        <v>28012</v>
      </c>
      <c r="D25" s="512">
        <f>('t3'!M25+'t3'!N25+'t3'!O25+'t3'!P25+'t3'!Q25+'t3'!R25)+('t12'!C25/12)</f>
        <v>4.189166666666667</v>
      </c>
      <c r="E25" s="429" t="str">
        <f t="shared" si="0"/>
        <v>OK</v>
      </c>
    </row>
    <row r="26" spans="1:5" ht="12.75">
      <c r="A26" s="147" t="str">
        <f>'t1'!A26</f>
        <v>POSIZIONE ECONOMICA C4</v>
      </c>
      <c r="B26" s="377" t="str">
        <f>'t1'!B26</f>
        <v>045000</v>
      </c>
      <c r="C26" s="403">
        <f>'t13'!P26</f>
        <v>103189</v>
      </c>
      <c r="D26" s="512">
        <f>('t3'!M26+'t3'!N26+'t3'!O26+'t3'!P26+'t3'!Q26+'t3'!R26)+('t12'!C26/12)</f>
        <v>20.083333333333332</v>
      </c>
      <c r="E26" s="429" t="str">
        <f t="shared" si="0"/>
        <v>OK</v>
      </c>
    </row>
    <row r="27" spans="1:5" ht="12.75">
      <c r="A27" s="147" t="str">
        <f>'t1'!A27</f>
        <v>POSIZIONE ECONOMICA C3</v>
      </c>
      <c r="B27" s="377" t="str">
        <f>'t1'!B27</f>
        <v>043000</v>
      </c>
      <c r="C27" s="403">
        <f>'t13'!P27</f>
        <v>163385</v>
      </c>
      <c r="D27" s="512">
        <f>('t3'!M27+'t3'!N27+'t3'!O27+'t3'!P27+'t3'!Q27+'t3'!R27)+('t12'!C27/12)</f>
        <v>31</v>
      </c>
      <c r="E27" s="429" t="str">
        <f t="shared" si="0"/>
        <v>OK</v>
      </c>
    </row>
    <row r="28" spans="1:5" ht="12.75">
      <c r="A28" s="147" t="str">
        <f>'t1'!A28</f>
        <v>POSIZIONE ECONOMICA C2</v>
      </c>
      <c r="B28" s="377" t="str">
        <f>'t1'!B28</f>
        <v>042000</v>
      </c>
      <c r="C28" s="403">
        <f>'t13'!P28</f>
        <v>163375</v>
      </c>
      <c r="D28" s="512">
        <f>('t3'!M28+'t3'!N28+'t3'!O28+'t3'!P28+'t3'!Q28+'t3'!R28)+('t12'!C28/12)</f>
        <v>38.916666666666664</v>
      </c>
      <c r="E28" s="429" t="str">
        <f t="shared" si="0"/>
        <v>OK</v>
      </c>
    </row>
    <row r="29" spans="1:5" ht="12.75">
      <c r="A29" s="147" t="str">
        <f>'t1'!A29</f>
        <v>POSIZIONE ECONOMICA DI ACCESSO C1</v>
      </c>
      <c r="B29" s="377" t="str">
        <f>'t1'!B29</f>
        <v>056000</v>
      </c>
      <c r="C29" s="403">
        <f>'t13'!P29</f>
        <v>910</v>
      </c>
      <c r="D29" s="512">
        <f>('t3'!M29+'t3'!N29+'t3'!O29+'t3'!P29+'t3'!Q29+'t3'!R29)+('t12'!C29/12)</f>
        <v>0.75</v>
      </c>
      <c r="E29" s="429" t="str">
        <f t="shared" si="0"/>
        <v>OK</v>
      </c>
    </row>
    <row r="30" spans="1:5" ht="12.75">
      <c r="A30" s="147" t="str">
        <f>'t1'!A30</f>
        <v>POSIZ. ECON. B7 - PROFILO ACCESSO B3</v>
      </c>
      <c r="B30" s="377" t="str">
        <f>'t1'!B30</f>
        <v>0B7A00</v>
      </c>
      <c r="C30" s="403">
        <f>'t13'!P30</f>
        <v>0</v>
      </c>
      <c r="D30" s="512">
        <f>('t3'!M30+'t3'!N30+'t3'!O30+'t3'!P30+'t3'!Q30+'t3'!R30)+('t12'!C30/12)</f>
        <v>0</v>
      </c>
      <c r="E30" s="429" t="str">
        <f t="shared" si="0"/>
        <v>OK</v>
      </c>
    </row>
    <row r="31" spans="1:5" ht="12.75">
      <c r="A31" s="147" t="str">
        <f>'t1'!A31</f>
        <v>POSIZ. ECON. B7 - PROFILO  ACCESSO B1</v>
      </c>
      <c r="B31" s="377" t="str">
        <f>'t1'!B31</f>
        <v>0B7000</v>
      </c>
      <c r="C31" s="403">
        <f>'t13'!P31</f>
        <v>0</v>
      </c>
      <c r="D31" s="512">
        <f>('t3'!M31+'t3'!N31+'t3'!O31+'t3'!P31+'t3'!Q31+'t3'!R31)+('t12'!C31/12)</f>
        <v>0</v>
      </c>
      <c r="E31" s="429" t="str">
        <f t="shared" si="0"/>
        <v>OK</v>
      </c>
    </row>
    <row r="32" spans="1:5" ht="12.75">
      <c r="A32" s="147" t="str">
        <f>'t1'!A32</f>
        <v>POSIZ.ECON. B6 PROFILI ACCESSO B3</v>
      </c>
      <c r="B32" s="377" t="str">
        <f>'t1'!B32</f>
        <v>038490</v>
      </c>
      <c r="C32" s="403">
        <f>'t13'!P32</f>
        <v>0</v>
      </c>
      <c r="D32" s="512">
        <f>('t3'!M32+'t3'!N32+'t3'!O32+'t3'!P32+'t3'!Q32+'t3'!R32)+('t12'!C32/12)</f>
        <v>0</v>
      </c>
      <c r="E32" s="429" t="str">
        <f t="shared" si="0"/>
        <v>OK</v>
      </c>
    </row>
    <row r="33" spans="1:5" ht="12.75">
      <c r="A33" s="147" t="str">
        <f>'t1'!A33</f>
        <v>POSIZ.ECON. B6 PROFILI ACCESSO B1</v>
      </c>
      <c r="B33" s="377" t="str">
        <f>'t1'!B33</f>
        <v>038491</v>
      </c>
      <c r="C33" s="403">
        <f>'t13'!P33</f>
        <v>0</v>
      </c>
      <c r="D33" s="512">
        <f>('t3'!M33+'t3'!N33+'t3'!O33+'t3'!P33+'t3'!Q33+'t3'!R33)+('t12'!C33/12)</f>
        <v>0</v>
      </c>
      <c r="E33" s="429" t="str">
        <f t="shared" si="0"/>
        <v>OK</v>
      </c>
    </row>
    <row r="34" spans="1:5" ht="12.75">
      <c r="A34" s="147" t="str">
        <f>'t1'!A34</f>
        <v>POSIZ.ECON. B5 PROFILI ACCESSO B3</v>
      </c>
      <c r="B34" s="377" t="str">
        <f>'t1'!B34</f>
        <v>037492</v>
      </c>
      <c r="C34" s="403">
        <f>'t13'!P34</f>
        <v>569</v>
      </c>
      <c r="D34" s="512">
        <f>('t3'!M34+'t3'!N34+'t3'!O34+'t3'!P34+'t3'!Q34+'t3'!R34)+('t12'!C34/12)</f>
        <v>0.08333333333333333</v>
      </c>
      <c r="E34" s="429" t="str">
        <f t="shared" si="0"/>
        <v>OK</v>
      </c>
    </row>
    <row r="35" spans="1:5" ht="12.75">
      <c r="A35" s="147" t="str">
        <f>'t1'!A35</f>
        <v>POSIZ.ECON. B5 PROFILI ACCESSO B1</v>
      </c>
      <c r="B35" s="377" t="str">
        <f>'t1'!B35</f>
        <v>037493</v>
      </c>
      <c r="C35" s="403">
        <f>'t13'!P35</f>
        <v>0</v>
      </c>
      <c r="D35" s="512">
        <f>('t3'!M35+'t3'!N35+'t3'!O35+'t3'!P35+'t3'!Q35+'t3'!R35)+('t12'!C35/12)</f>
        <v>0</v>
      </c>
      <c r="E35" s="429" t="str">
        <f t="shared" si="0"/>
        <v>OK</v>
      </c>
    </row>
    <row r="36" spans="1:5" ht="12.75">
      <c r="A36" s="147" t="str">
        <f>'t1'!A36</f>
        <v>POSIZ.ECON. B4 PROFILI ACCESSO B3</v>
      </c>
      <c r="B36" s="377" t="str">
        <f>'t1'!B36</f>
        <v>036494</v>
      </c>
      <c r="C36" s="403">
        <f>'t13'!P36</f>
        <v>119862</v>
      </c>
      <c r="D36" s="512">
        <f>('t3'!M36+'t3'!N36+'t3'!O36+'t3'!P36+'t3'!Q36+'t3'!R36)+('t12'!C36/12)</f>
        <v>30.916666666666668</v>
      </c>
      <c r="E36" s="429" t="str">
        <f t="shared" si="0"/>
        <v>OK</v>
      </c>
    </row>
    <row r="37" spans="1:5" ht="12.75">
      <c r="A37" s="147" t="str">
        <f>'t1'!A37</f>
        <v>POSIZ.ECON. B4 PROFILI ACCESSO B1</v>
      </c>
      <c r="B37" s="377" t="str">
        <f>'t1'!B37</f>
        <v>036495</v>
      </c>
      <c r="C37" s="403">
        <f>'t13'!P37</f>
        <v>3487</v>
      </c>
      <c r="D37" s="512">
        <f>('t3'!M37+'t3'!N37+'t3'!O37+'t3'!P37+'t3'!Q37+'t3'!R37)+('t12'!C37/12)</f>
        <v>2</v>
      </c>
      <c r="E37" s="429" t="str">
        <f t="shared" si="0"/>
        <v>OK</v>
      </c>
    </row>
    <row r="38" spans="1:5" ht="12.75">
      <c r="A38" s="147" t="str">
        <f>'t1'!A38</f>
        <v>POSIZIONE ECONOMICA DI ACCESSO B3</v>
      </c>
      <c r="B38" s="377" t="str">
        <f>'t1'!B38</f>
        <v>055000</v>
      </c>
      <c r="C38" s="403">
        <f>'t13'!P38</f>
        <v>35656</v>
      </c>
      <c r="D38" s="512">
        <f>('t3'!M38+'t3'!N38+'t3'!O38+'t3'!P38+'t3'!Q38+'t3'!R38)+('t12'!C38/12)</f>
        <v>12.073333333333332</v>
      </c>
      <c r="E38" s="429" t="str">
        <f t="shared" si="0"/>
        <v>OK</v>
      </c>
    </row>
    <row r="39" spans="1:5" ht="12.75">
      <c r="A39" s="147" t="str">
        <f>'t1'!A39</f>
        <v>POSIZIONE ECONOMICA B3</v>
      </c>
      <c r="B39" s="377" t="str">
        <f>'t1'!B39</f>
        <v>034000</v>
      </c>
      <c r="C39" s="403">
        <f>'t13'!P39</f>
        <v>36569</v>
      </c>
      <c r="D39" s="512">
        <f>('t3'!M39+'t3'!N39+'t3'!O39+'t3'!P39+'t3'!Q39+'t3'!R39)+('t12'!C39/12)</f>
        <v>13</v>
      </c>
      <c r="E39" s="429" t="str">
        <f t="shared" si="0"/>
        <v>OK</v>
      </c>
    </row>
    <row r="40" spans="1:5" ht="12.75">
      <c r="A40" s="147" t="str">
        <f>'t1'!A40</f>
        <v>POSIZIONE ECONOMICA B2</v>
      </c>
      <c r="B40" s="377" t="str">
        <f>'t1'!B40</f>
        <v>032000</v>
      </c>
      <c r="C40" s="403">
        <f>'t13'!P40</f>
        <v>23157</v>
      </c>
      <c r="D40" s="512">
        <f>('t3'!M40+'t3'!N40+'t3'!O40+'t3'!P40+'t3'!Q40+'t3'!R40)+('t12'!C40/12)</f>
        <v>10</v>
      </c>
      <c r="E40" s="429" t="str">
        <f t="shared" si="0"/>
        <v>OK</v>
      </c>
    </row>
    <row r="41" spans="1:5" ht="12.75">
      <c r="A41" s="147" t="str">
        <f>'t1'!A41</f>
        <v>POSIZIONE ECONOMICA DI ACCESSO B1</v>
      </c>
      <c r="B41" s="377" t="str">
        <f>'t1'!B41</f>
        <v>054000</v>
      </c>
      <c r="C41" s="403">
        <f>'t13'!P41</f>
        <v>1695</v>
      </c>
      <c r="D41" s="512">
        <f>('t3'!M41+'t3'!N41+'t3'!O41+'t3'!P41+'t3'!Q41+'t3'!R41)+('t12'!C41/12)</f>
        <v>1</v>
      </c>
      <c r="E41" s="429" t="str">
        <f t="shared" si="0"/>
        <v>OK</v>
      </c>
    </row>
    <row r="42" spans="1:5" ht="12.75">
      <c r="A42" s="147" t="str">
        <f>'t1'!A42</f>
        <v>POSIZIONE ECONOMICA A5</v>
      </c>
      <c r="B42" s="377" t="str">
        <f>'t1'!B42</f>
        <v>0A5000</v>
      </c>
      <c r="C42" s="403">
        <f>'t13'!P42</f>
        <v>0</v>
      </c>
      <c r="D42" s="512">
        <f>('t3'!M42+'t3'!N42+'t3'!O42+'t3'!P42+'t3'!Q42+'t3'!R42)+('t12'!C42/12)</f>
        <v>0</v>
      </c>
      <c r="E42" s="429" t="str">
        <f t="shared" si="0"/>
        <v>OK</v>
      </c>
    </row>
    <row r="43" spans="1:5" ht="12.75">
      <c r="A43" s="147" t="str">
        <f>'t1'!A43</f>
        <v>POSIZIONE ECONOMICA A4</v>
      </c>
      <c r="B43" s="377" t="str">
        <f>'t1'!B43</f>
        <v>028000</v>
      </c>
      <c r="C43" s="403">
        <f>'t13'!P43</f>
        <v>0</v>
      </c>
      <c r="D43" s="512">
        <f>('t3'!M43+'t3'!N43+'t3'!O43+'t3'!P43+'t3'!Q43+'t3'!R43)+('t12'!C43/12)</f>
        <v>0</v>
      </c>
      <c r="E43" s="429" t="str">
        <f t="shared" si="0"/>
        <v>OK</v>
      </c>
    </row>
    <row r="44" spans="1:5" ht="12.75">
      <c r="A44" s="147" t="str">
        <f>'t1'!A44</f>
        <v>POSIZIONE ECONOMICA A3</v>
      </c>
      <c r="B44" s="377" t="str">
        <f>'t1'!B44</f>
        <v>027000</v>
      </c>
      <c r="C44" s="403">
        <f>'t13'!P44</f>
        <v>0</v>
      </c>
      <c r="D44" s="512">
        <f>('t3'!M44+'t3'!N44+'t3'!O44+'t3'!P44+'t3'!Q44+'t3'!R44)+('t12'!C44/12)</f>
        <v>0</v>
      </c>
      <c r="E44" s="429" t="str">
        <f t="shared" si="0"/>
        <v>OK</v>
      </c>
    </row>
    <row r="45" spans="1:5" ht="12.75">
      <c r="A45" s="147" t="str">
        <f>'t1'!A45</f>
        <v>POSIZIONE ECONOMICA A2</v>
      </c>
      <c r="B45" s="377" t="str">
        <f>'t1'!B45</f>
        <v>025000</v>
      </c>
      <c r="C45" s="403">
        <f>'t13'!P45</f>
        <v>0</v>
      </c>
      <c r="D45" s="512">
        <f>('t3'!M45+'t3'!N45+'t3'!O45+'t3'!P45+'t3'!Q45+'t3'!R45)+('t12'!C45/12)</f>
        <v>0</v>
      </c>
      <c r="E45" s="429" t="str">
        <f t="shared" si="0"/>
        <v>OK</v>
      </c>
    </row>
    <row r="46" spans="1:5" ht="12.75">
      <c r="A46" s="147" t="str">
        <f>'t1'!A46</f>
        <v>POSIZIONE ECONOMICA DI ACCESSO A1</v>
      </c>
      <c r="B46" s="377" t="str">
        <f>'t1'!B46</f>
        <v>053000</v>
      </c>
      <c r="C46" s="403">
        <f>'t13'!P46</f>
        <v>6318</v>
      </c>
      <c r="D46" s="512">
        <f>('t3'!M46+'t3'!N46+'t3'!O46+'t3'!P46+'t3'!Q46+'t3'!R46)+('t12'!C46/12)</f>
        <v>1</v>
      </c>
      <c r="E46" s="429" t="str">
        <f t="shared" si="0"/>
        <v>OK</v>
      </c>
    </row>
    <row r="47" spans="1:5" ht="12.75">
      <c r="A47" s="147" t="str">
        <f>'t1'!A47</f>
        <v>CONTRATTISTI (a)</v>
      </c>
      <c r="B47" s="377" t="str">
        <f>'t1'!B47</f>
        <v>000061</v>
      </c>
      <c r="C47" s="403">
        <f>'t13'!P47</f>
        <v>19551</v>
      </c>
      <c r="D47" s="512">
        <f>('t3'!M47+'t3'!N47+'t3'!O47+'t3'!P47+'t3'!Q47+'t3'!R47)+('t12'!C47/12)</f>
        <v>2</v>
      </c>
      <c r="E47" s="429" t="str">
        <f t="shared" si="0"/>
        <v>OK</v>
      </c>
    </row>
    <row r="48" spans="1:5" ht="12.75">
      <c r="A48" s="147" t="str">
        <f>'t1'!A48</f>
        <v>COLLABORATORE A TEMPO DETERMIN. (b)</v>
      </c>
      <c r="B48" s="377" t="str">
        <f>'t1'!B48</f>
        <v>000096</v>
      </c>
      <c r="C48" s="403">
        <f>'t13'!P48</f>
        <v>0</v>
      </c>
      <c r="D48" s="512">
        <f>('t3'!M48+'t3'!N48+'t3'!O48+'t3'!P48+'t3'!Q48+'t3'!R48)+('t12'!C48/12)</f>
        <v>0</v>
      </c>
      <c r="E48" s="429" t="str">
        <f t="shared" si="0"/>
        <v>OK</v>
      </c>
    </row>
  </sheetData>
  <sheetProtection password="EA98" sheet="1" formatColumns="0" selectLockedCells="1" selectUnlockedCells="1"/>
  <mergeCells count="2">
    <mergeCell ref="A1:E1"/>
    <mergeCell ref="C2:E2"/>
  </mergeCells>
  <printOptions horizontalCentered="1" verticalCentered="1"/>
  <pageMargins left="0.1968503937007874" right="0.1968503937007874" top="0.1968503937007874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oglio28"/>
  <dimension ref="A1:N48"/>
  <sheetViews>
    <sheetView showGridLines="0" zoomScalePageLayoutView="0" workbookViewId="0" topLeftCell="A1">
      <selection activeCell="A2" sqref="A2"/>
    </sheetView>
  </sheetViews>
  <sheetFormatPr defaultColWidth="9.33203125" defaultRowHeight="10.5"/>
  <cols>
    <col min="1" max="1" width="52" style="5" customWidth="1"/>
    <col min="2" max="2" width="10" style="7" customWidth="1"/>
    <col min="3" max="8" width="17.83203125" style="7" customWidth="1"/>
    <col min="9" max="9" width="18.33203125" style="7" customWidth="1"/>
    <col min="10" max="11" width="16.66015625" style="7" hidden="1" customWidth="1"/>
  </cols>
  <sheetData>
    <row r="1" spans="1:14" s="5" customFormat="1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3"/>
      <c r="N1"/>
    </row>
    <row r="2" spans="4:14" s="5" customFormat="1" ht="12.75" customHeight="1">
      <c r="D2" s="1496"/>
      <c r="E2" s="1496"/>
      <c r="F2" s="1496"/>
      <c r="G2" s="1496"/>
      <c r="H2" s="1496"/>
      <c r="I2" s="1496"/>
      <c r="J2" s="1496"/>
      <c r="K2" s="1496"/>
      <c r="L2" s="3"/>
      <c r="N2"/>
    </row>
    <row r="3" spans="1:3" s="5" customFormat="1" ht="21" customHeight="1">
      <c r="A3" s="215" t="s">
        <v>29</v>
      </c>
      <c r="B3" s="7"/>
      <c r="C3" s="7"/>
    </row>
    <row r="4" spans="1:11" ht="45">
      <c r="A4" s="200" t="s">
        <v>250</v>
      </c>
      <c r="B4" s="202" t="s">
        <v>212</v>
      </c>
      <c r="C4" s="201" t="s">
        <v>30</v>
      </c>
      <c r="D4" s="201" t="s">
        <v>31</v>
      </c>
      <c r="E4" s="201" t="s">
        <v>32</v>
      </c>
      <c r="F4" s="201" t="s">
        <v>33</v>
      </c>
      <c r="G4" s="201" t="s">
        <v>34</v>
      </c>
      <c r="H4" s="201" t="s">
        <v>35</v>
      </c>
      <c r="I4" s="201" t="s">
        <v>36</v>
      </c>
      <c r="J4" s="201" t="s">
        <v>37</v>
      </c>
      <c r="K4" s="201" t="s">
        <v>38</v>
      </c>
    </row>
    <row r="5" spans="1:11" s="219" customFormat="1" ht="10.5">
      <c r="A5" s="199"/>
      <c r="B5" s="213"/>
      <c r="C5" s="213" t="s">
        <v>214</v>
      </c>
      <c r="D5" s="217" t="s">
        <v>215</v>
      </c>
      <c r="E5" s="217" t="s">
        <v>216</v>
      </c>
      <c r="F5" s="217" t="s">
        <v>217</v>
      </c>
      <c r="G5" s="217" t="s">
        <v>218</v>
      </c>
      <c r="H5" s="217" t="s">
        <v>238</v>
      </c>
      <c r="I5" s="217"/>
      <c r="J5" s="217"/>
      <c r="K5" s="217"/>
    </row>
    <row r="6" spans="1:11" ht="12.75">
      <c r="A6" s="147" t="str">
        <f>'t1'!A6</f>
        <v>SEGRETARIO A</v>
      </c>
      <c r="B6" s="377" t="str">
        <f>'t1'!B6</f>
        <v>0D0102</v>
      </c>
      <c r="C6" s="403">
        <f>'t11'!AA8+'t11'!AB8</f>
        <v>37</v>
      </c>
      <c r="D6" s="403">
        <f>'t1'!L6+'t1'!M6</f>
        <v>1</v>
      </c>
      <c r="E6" s="403">
        <f>'t3'!M6+'t3'!N6+'t3'!O6+'t3'!P6+'t3'!Q6+'t3'!R6</f>
        <v>0</v>
      </c>
      <c r="F6" s="403">
        <f>'t4'!AT6</f>
        <v>0</v>
      </c>
      <c r="G6" s="401">
        <f>'t4'!C49</f>
        <v>1</v>
      </c>
      <c r="H6" s="403">
        <f>'t5'!Q7+'t5'!R7</f>
        <v>0</v>
      </c>
      <c r="I6" s="429" t="str">
        <f aca="true" t="shared" si="0" ref="I6:I34">IF(AND(J6="OK",K6="OK"),"OK","ERRORE")</f>
        <v>OK</v>
      </c>
      <c r="J6" s="429" t="str">
        <f aca="true" t="shared" si="1" ref="J6:J34">IF(AND(C6&gt;0,D6=0,E6=0,F6=0,G6=0,H6=0),"KO","OK")</f>
        <v>OK</v>
      </c>
      <c r="K6" s="429" t="str">
        <f aca="true" t="shared" si="2" ref="K6:K34">IF(AND(C6=0,OR(D6&gt;0,E6&gt;0,F6&gt;0,G6&gt;0,H6&gt;0)),"KO","OK")</f>
        <v>OK</v>
      </c>
    </row>
    <row r="7" spans="1:11" ht="12.75">
      <c r="A7" s="147" t="str">
        <f>'t1'!A7</f>
        <v>SEGRETARIO B</v>
      </c>
      <c r="B7" s="377" t="str">
        <f>'t1'!B7</f>
        <v>0D0103</v>
      </c>
      <c r="C7" s="403">
        <f>'t11'!AA9+'t11'!AB9</f>
        <v>0</v>
      </c>
      <c r="D7" s="403">
        <f>'t1'!L7+'t1'!M7</f>
        <v>0</v>
      </c>
      <c r="E7" s="403">
        <f>'t3'!M7+'t3'!N7+'t3'!O7+'t3'!P7+'t3'!Q7+'t3'!R7</f>
        <v>0</v>
      </c>
      <c r="F7" s="403">
        <f>'t4'!AT7</f>
        <v>0</v>
      </c>
      <c r="G7" s="401">
        <f>'t4'!D49</f>
        <v>0</v>
      </c>
      <c r="H7" s="403">
        <f>'t5'!Q8+'t5'!R8</f>
        <v>0</v>
      </c>
      <c r="I7" s="429" t="str">
        <f t="shared" si="0"/>
        <v>OK</v>
      </c>
      <c r="J7" s="429" t="str">
        <f t="shared" si="1"/>
        <v>OK</v>
      </c>
      <c r="K7" s="429" t="str">
        <f t="shared" si="2"/>
        <v>OK</v>
      </c>
    </row>
    <row r="8" spans="1:11" ht="12.75">
      <c r="A8" s="147" t="str">
        <f>'t1'!A8</f>
        <v>SEGRETARIO C</v>
      </c>
      <c r="B8" s="377" t="str">
        <f>'t1'!B8</f>
        <v>0D0485</v>
      </c>
      <c r="C8" s="403">
        <f>'t11'!AA10+'t11'!AB10</f>
        <v>0</v>
      </c>
      <c r="D8" s="403">
        <f>'t1'!L8+'t1'!M8</f>
        <v>0</v>
      </c>
      <c r="E8" s="403">
        <f>'t3'!M8+'t3'!N8+'t3'!O8+'t3'!P8+'t3'!Q8+'t3'!R8</f>
        <v>0</v>
      </c>
      <c r="F8" s="403">
        <f>'t4'!AT8</f>
        <v>0</v>
      </c>
      <c r="G8" s="401">
        <f>'t4'!E49</f>
        <v>0</v>
      </c>
      <c r="H8" s="403">
        <f>'t5'!Q9+'t5'!R9</f>
        <v>0</v>
      </c>
      <c r="I8" s="429" t="str">
        <f t="shared" si="0"/>
        <v>OK</v>
      </c>
      <c r="J8" s="429" t="str">
        <f t="shared" si="1"/>
        <v>OK</v>
      </c>
      <c r="K8" s="429" t="str">
        <f t="shared" si="2"/>
        <v>OK</v>
      </c>
    </row>
    <row r="9" spans="1:11" ht="12.75">
      <c r="A9" s="147" t="str">
        <f>'t1'!A9</f>
        <v>SEGRETARIO GENERALE CCIAA</v>
      </c>
      <c r="B9" s="377" t="str">
        <f>'t1'!B9</f>
        <v>0D0104</v>
      </c>
      <c r="C9" s="403">
        <f>'t11'!AA11+'t11'!AB11</f>
        <v>0</v>
      </c>
      <c r="D9" s="403">
        <f>'t1'!L9+'t1'!M9</f>
        <v>0</v>
      </c>
      <c r="E9" s="403">
        <f>'t3'!M9+'t3'!N9+'t3'!O9+'t3'!P9+'t3'!Q9+'t3'!R9</f>
        <v>0</v>
      </c>
      <c r="F9" s="403">
        <f>'t4'!AT9</f>
        <v>0</v>
      </c>
      <c r="G9" s="401">
        <f>'t4'!F49</f>
        <v>0</v>
      </c>
      <c r="H9" s="403">
        <f>'t5'!Q10+'t5'!R10</f>
        <v>0</v>
      </c>
      <c r="I9" s="429" t="str">
        <f t="shared" si="0"/>
        <v>OK</v>
      </c>
      <c r="J9" s="429" t="str">
        <f t="shared" si="1"/>
        <v>OK</v>
      </c>
      <c r="K9" s="429" t="str">
        <f t="shared" si="2"/>
        <v>OK</v>
      </c>
    </row>
    <row r="10" spans="1:11" ht="12.75">
      <c r="A10" s="147" t="str">
        <f>'t1'!A10</f>
        <v>DIRETTORE  GENERALE</v>
      </c>
      <c r="B10" s="377" t="str">
        <f>'t1'!B10</f>
        <v>0D0097</v>
      </c>
      <c r="C10" s="403">
        <f>'t11'!AA12+'t11'!AB12</f>
        <v>0</v>
      </c>
      <c r="D10" s="403">
        <f>'t1'!L10+'t1'!M10</f>
        <v>0</v>
      </c>
      <c r="E10" s="403">
        <f>'t3'!M10+'t3'!N10+'t3'!O10+'t3'!P10+'t3'!Q10+'t3'!R10</f>
        <v>0</v>
      </c>
      <c r="F10" s="403">
        <f>'t4'!AT10</f>
        <v>0</v>
      </c>
      <c r="G10" s="401">
        <f>'t4'!G49</f>
        <v>0</v>
      </c>
      <c r="H10" s="403">
        <f>'t5'!Q11+'t5'!R11</f>
        <v>0</v>
      </c>
      <c r="I10" s="429" t="str">
        <f t="shared" si="0"/>
        <v>OK</v>
      </c>
      <c r="J10" s="429" t="str">
        <f t="shared" si="1"/>
        <v>OK</v>
      </c>
      <c r="K10" s="429" t="str">
        <f t="shared" si="2"/>
        <v>OK</v>
      </c>
    </row>
    <row r="11" spans="1:11" ht="12.75">
      <c r="A11" s="147" t="str">
        <f>'t1'!A11</f>
        <v>DIRIGENTE FUORI D.O.</v>
      </c>
      <c r="B11" s="377" t="str">
        <f>'t1'!B11</f>
        <v>0D0098</v>
      </c>
      <c r="C11" s="403">
        <f>'t11'!AA13+'t11'!AB13</f>
        <v>0</v>
      </c>
      <c r="D11" s="403">
        <f>'t1'!L11+'t1'!M11</f>
        <v>0</v>
      </c>
      <c r="E11" s="403">
        <f>'t3'!M11+'t3'!N11+'t3'!O11+'t3'!P11+'t3'!Q11+'t3'!R11</f>
        <v>0</v>
      </c>
      <c r="F11" s="403">
        <f>'t4'!AT11</f>
        <v>0</v>
      </c>
      <c r="G11" s="401">
        <f>'t4'!H49</f>
        <v>0</v>
      </c>
      <c r="H11" s="403">
        <f>'t5'!Q12+'t5'!R12</f>
        <v>0</v>
      </c>
      <c r="I11" s="429" t="str">
        <f t="shared" si="0"/>
        <v>OK</v>
      </c>
      <c r="J11" s="429" t="str">
        <f t="shared" si="1"/>
        <v>OK</v>
      </c>
      <c r="K11" s="429" t="str">
        <f t="shared" si="2"/>
        <v>OK</v>
      </c>
    </row>
    <row r="12" spans="1:11" ht="12.75">
      <c r="A12" s="147" t="str">
        <f>'t1'!A12</f>
        <v>ALTE SPECIALIZZ. FUORI D.O.</v>
      </c>
      <c r="B12" s="377" t="str">
        <f>'t1'!B12</f>
        <v>0D0095</v>
      </c>
      <c r="C12" s="403">
        <f>'t11'!AA14+'t11'!AB14</f>
        <v>0</v>
      </c>
      <c r="D12" s="403">
        <f>'t1'!L12+'t1'!M12</f>
        <v>0</v>
      </c>
      <c r="E12" s="403">
        <f>'t3'!M12+'t3'!N12+'t3'!O12+'t3'!P12+'t3'!Q12+'t3'!R12</f>
        <v>0</v>
      </c>
      <c r="F12" s="403">
        <f>'t4'!AT12</f>
        <v>0</v>
      </c>
      <c r="G12" s="401">
        <f>'t4'!I49</f>
        <v>0</v>
      </c>
      <c r="H12" s="403">
        <f>'t5'!Q13+'t5'!R13</f>
        <v>0</v>
      </c>
      <c r="I12" s="429" t="str">
        <f t="shared" si="0"/>
        <v>OK</v>
      </c>
      <c r="J12" s="429" t="str">
        <f t="shared" si="1"/>
        <v>OK</v>
      </c>
      <c r="K12" s="429" t="str">
        <f t="shared" si="2"/>
        <v>OK</v>
      </c>
    </row>
    <row r="13" spans="1:11" ht="12.75">
      <c r="A13" s="147" t="str">
        <f>'t1'!A13</f>
        <v>QUALIFICA DIRIGENZIALE TEMPO INDET.</v>
      </c>
      <c r="B13" s="377" t="str">
        <f>'t1'!B13</f>
        <v>0D0100</v>
      </c>
      <c r="C13" s="403">
        <f>'t11'!AA15+'t11'!AB15</f>
        <v>28</v>
      </c>
      <c r="D13" s="403">
        <f>'t1'!L13+'t1'!M13</f>
        <v>1</v>
      </c>
      <c r="E13" s="403">
        <f>'t3'!M13+'t3'!N13+'t3'!O13+'t3'!P13+'t3'!Q13+'t3'!R13</f>
        <v>0</v>
      </c>
      <c r="F13" s="403">
        <f>'t4'!AT13</f>
        <v>0</v>
      </c>
      <c r="G13" s="401">
        <f>'t4'!J49</f>
        <v>0</v>
      </c>
      <c r="H13" s="403">
        <f>'t5'!Q14+'t5'!R14</f>
        <v>1</v>
      </c>
      <c r="I13" s="429" t="str">
        <f t="shared" si="0"/>
        <v>OK</v>
      </c>
      <c r="J13" s="429" t="str">
        <f t="shared" si="1"/>
        <v>OK</v>
      </c>
      <c r="K13" s="429" t="str">
        <f t="shared" si="2"/>
        <v>OK</v>
      </c>
    </row>
    <row r="14" spans="1:11" ht="12.75">
      <c r="A14" s="147" t="str">
        <f>'t1'!A14</f>
        <v>QUALIFICA DIRIGENZIALE TEMPO DETER.</v>
      </c>
      <c r="B14" s="377" t="str">
        <f>'t1'!B14</f>
        <v>0D0099</v>
      </c>
      <c r="C14" s="403">
        <f>'t11'!AA16+'t11'!AB16</f>
        <v>124</v>
      </c>
      <c r="D14" s="403">
        <f>'t1'!L14+'t1'!M14</f>
        <v>10</v>
      </c>
      <c r="E14" s="403">
        <f>'t3'!M14+'t3'!N14+'t3'!O14+'t3'!P14+'t3'!Q14+'t3'!R14</f>
        <v>0</v>
      </c>
      <c r="F14" s="403">
        <f>'t4'!AT14</f>
        <v>0</v>
      </c>
      <c r="G14" s="401">
        <f>'t4'!K49</f>
        <v>0</v>
      </c>
      <c r="H14" s="403">
        <f>'t5'!Q15+'t5'!R15</f>
        <v>0</v>
      </c>
      <c r="I14" s="429" t="str">
        <f t="shared" si="0"/>
        <v>OK</v>
      </c>
      <c r="J14" s="429" t="str">
        <f t="shared" si="1"/>
        <v>OK</v>
      </c>
      <c r="K14" s="429" t="str">
        <f t="shared" si="2"/>
        <v>OK</v>
      </c>
    </row>
    <row r="15" spans="1:11" ht="12.75">
      <c r="A15" s="147" t="str">
        <f>'t1'!A15</f>
        <v>POSIZ. ECON. D6 - PROFILI ACCESSO D3</v>
      </c>
      <c r="B15" s="377" t="str">
        <f>'t1'!B15</f>
        <v>0D6A00</v>
      </c>
      <c r="C15" s="403">
        <f>'t11'!AA17+'t11'!AB17</f>
        <v>310</v>
      </c>
      <c r="D15" s="403">
        <f>'t1'!L15+'t1'!M15</f>
        <v>8</v>
      </c>
      <c r="E15" s="403">
        <f>'t3'!M15+'t3'!N15+'t3'!O15+'t3'!P15+'t3'!Q15+'t3'!R15</f>
        <v>0</v>
      </c>
      <c r="F15" s="403">
        <f>'t4'!AT15</f>
        <v>0</v>
      </c>
      <c r="G15" s="401">
        <f>'t4'!L49</f>
        <v>0</v>
      </c>
      <c r="H15" s="403">
        <f>'t5'!Q16+'t5'!R16</f>
        <v>1</v>
      </c>
      <c r="I15" s="429" t="str">
        <f t="shared" si="0"/>
        <v>OK</v>
      </c>
      <c r="J15" s="429" t="str">
        <f t="shared" si="1"/>
        <v>OK</v>
      </c>
      <c r="K15" s="429" t="str">
        <f t="shared" si="2"/>
        <v>OK</v>
      </c>
    </row>
    <row r="16" spans="1:11" ht="12.75">
      <c r="A16" s="147" t="str">
        <f>'t1'!A16</f>
        <v>POSIZ. ECON. D6 - PROFILO ACCESSO D1</v>
      </c>
      <c r="B16" s="377" t="str">
        <f>'t1'!B16</f>
        <v>0D6000</v>
      </c>
      <c r="C16" s="403">
        <f>'t11'!AA18+'t11'!AB18</f>
        <v>0</v>
      </c>
      <c r="D16" s="403">
        <f>'t1'!L16+'t1'!M16</f>
        <v>0</v>
      </c>
      <c r="E16" s="403">
        <f>'t3'!M16+'t3'!N16+'t3'!O16+'t3'!P16+'t3'!Q16+'t3'!R16</f>
        <v>0</v>
      </c>
      <c r="F16" s="403">
        <f>'t4'!AT16</f>
        <v>0</v>
      </c>
      <c r="G16" s="401">
        <f>'t4'!M49</f>
        <v>0</v>
      </c>
      <c r="H16" s="403">
        <f>'t5'!Q17+'t5'!R17</f>
        <v>0</v>
      </c>
      <c r="I16" s="429" t="str">
        <f t="shared" si="0"/>
        <v>OK</v>
      </c>
      <c r="J16" s="429" t="str">
        <f t="shared" si="1"/>
        <v>OK</v>
      </c>
      <c r="K16" s="429" t="str">
        <f t="shared" si="2"/>
        <v>OK</v>
      </c>
    </row>
    <row r="17" spans="1:11" ht="12.75">
      <c r="A17" s="147" t="str">
        <f>'t1'!A17</f>
        <v>POSIZ.ECON. D5 PROFILI ACCESSO D3</v>
      </c>
      <c r="B17" s="377" t="str">
        <f>'t1'!B17</f>
        <v>052486</v>
      </c>
      <c r="C17" s="403">
        <f>'t11'!AA19+'t11'!AB19</f>
        <v>519</v>
      </c>
      <c r="D17" s="403">
        <f>'t1'!L17+'t1'!M17</f>
        <v>8</v>
      </c>
      <c r="E17" s="403">
        <f>'t3'!M17+'t3'!N17+'t3'!O17+'t3'!P17+'t3'!Q17+'t3'!R17</f>
        <v>0</v>
      </c>
      <c r="F17" s="403">
        <f>'t4'!AT17</f>
        <v>0</v>
      </c>
      <c r="G17" s="401">
        <f>'t4'!N49</f>
        <v>0</v>
      </c>
      <c r="H17" s="403">
        <f>'t5'!Q18+'t5'!R18</f>
        <v>5</v>
      </c>
      <c r="I17" s="429" t="str">
        <f t="shared" si="0"/>
        <v>OK</v>
      </c>
      <c r="J17" s="429" t="str">
        <f t="shared" si="1"/>
        <v>OK</v>
      </c>
      <c r="K17" s="429" t="str">
        <f t="shared" si="2"/>
        <v>OK</v>
      </c>
    </row>
    <row r="18" spans="1:11" ht="12.75">
      <c r="A18" s="147" t="str">
        <f>'t1'!A18</f>
        <v>POSIZ.ECON. D5 PROFILI ACCESSO D1</v>
      </c>
      <c r="B18" s="377" t="str">
        <f>'t1'!B18</f>
        <v>052487</v>
      </c>
      <c r="C18" s="403">
        <f>'t11'!AA20+'t11'!AB20</f>
        <v>111</v>
      </c>
      <c r="D18" s="403">
        <f>'t1'!L18+'t1'!M18</f>
        <v>1</v>
      </c>
      <c r="E18" s="403">
        <f>'t3'!M18+'t3'!N18+'t3'!O18+'t3'!P18+'t3'!Q18+'t3'!R18</f>
        <v>0</v>
      </c>
      <c r="F18" s="403">
        <f>'t4'!AT18</f>
        <v>0</v>
      </c>
      <c r="G18" s="401">
        <f>'t4'!O49</f>
        <v>0</v>
      </c>
      <c r="H18" s="403">
        <f>'t5'!Q19+'t5'!R19</f>
        <v>0</v>
      </c>
      <c r="I18" s="429" t="str">
        <f t="shared" si="0"/>
        <v>OK</v>
      </c>
      <c r="J18" s="429" t="str">
        <f t="shared" si="1"/>
        <v>OK</v>
      </c>
      <c r="K18" s="429" t="str">
        <f t="shared" si="2"/>
        <v>OK</v>
      </c>
    </row>
    <row r="19" spans="1:11" ht="12.75">
      <c r="A19" s="147" t="str">
        <f>'t1'!A19</f>
        <v>POSIZ.ECON. D4 PROFILI ACCESSO D3</v>
      </c>
      <c r="B19" s="377" t="str">
        <f>'t1'!B19</f>
        <v>051488</v>
      </c>
      <c r="C19" s="403">
        <f>'t11'!AA21+'t11'!AB21</f>
        <v>617</v>
      </c>
      <c r="D19" s="403">
        <f>'t1'!L19+'t1'!M19</f>
        <v>14</v>
      </c>
      <c r="E19" s="403">
        <f>'t3'!M19+'t3'!N19+'t3'!O19+'t3'!P19+'t3'!Q19+'t3'!R19</f>
        <v>0</v>
      </c>
      <c r="F19" s="403">
        <f>'t4'!AT19</f>
        <v>0</v>
      </c>
      <c r="G19" s="401">
        <f>'t4'!P49</f>
        <v>0</v>
      </c>
      <c r="H19" s="403">
        <f>'t5'!Q20+'t5'!R20</f>
        <v>3</v>
      </c>
      <c r="I19" s="429" t="str">
        <f t="shared" si="0"/>
        <v>OK</v>
      </c>
      <c r="J19" s="429" t="str">
        <f t="shared" si="1"/>
        <v>OK</v>
      </c>
      <c r="K19" s="429" t="str">
        <f t="shared" si="2"/>
        <v>OK</v>
      </c>
    </row>
    <row r="20" spans="1:11" ht="12.75">
      <c r="A20" s="147" t="str">
        <f>'t1'!A20</f>
        <v>POSIZ.ECON. D4 PROFILI ACCESSO D1</v>
      </c>
      <c r="B20" s="377" t="str">
        <f>'t1'!B20</f>
        <v>051489</v>
      </c>
      <c r="C20" s="403">
        <f>'t11'!AA22+'t11'!AB22</f>
        <v>194</v>
      </c>
      <c r="D20" s="403">
        <f>'t1'!L20+'t1'!M20</f>
        <v>3</v>
      </c>
      <c r="E20" s="403">
        <f>'t3'!M20+'t3'!N20+'t3'!O20+'t3'!P20+'t3'!Q20+'t3'!R20</f>
        <v>0</v>
      </c>
      <c r="F20" s="403">
        <f>'t4'!AT20</f>
        <v>0</v>
      </c>
      <c r="G20" s="401">
        <f>'t4'!Q49</f>
        <v>0</v>
      </c>
      <c r="H20" s="403">
        <f>'t5'!Q21+'t5'!R21</f>
        <v>0</v>
      </c>
      <c r="I20" s="429" t="str">
        <f t="shared" si="0"/>
        <v>OK</v>
      </c>
      <c r="J20" s="429" t="str">
        <f t="shared" si="1"/>
        <v>OK</v>
      </c>
      <c r="K20" s="429" t="str">
        <f t="shared" si="2"/>
        <v>OK</v>
      </c>
    </row>
    <row r="21" spans="1:11" ht="12.75">
      <c r="A21" s="147" t="str">
        <f>'t1'!A21</f>
        <v>POSIZIONE ECONOMICA DI ACCESSO D3</v>
      </c>
      <c r="B21" s="377" t="str">
        <f>'t1'!B21</f>
        <v>058000</v>
      </c>
      <c r="C21" s="403">
        <f>'t11'!AA23+'t11'!AB23</f>
        <v>148</v>
      </c>
      <c r="D21" s="403">
        <f>'t1'!L21+'t1'!M21</f>
        <v>2</v>
      </c>
      <c r="E21" s="403">
        <f>'t3'!M21+'t3'!N21+'t3'!O21+'t3'!P21+'t3'!Q21+'t3'!R21</f>
        <v>0</v>
      </c>
      <c r="F21" s="403">
        <f>'t4'!AT21</f>
        <v>0</v>
      </c>
      <c r="G21" s="401">
        <f>'t4'!R49</f>
        <v>0</v>
      </c>
      <c r="H21" s="403">
        <f>'t5'!Q22+'t5'!R22</f>
        <v>1</v>
      </c>
      <c r="I21" s="429" t="str">
        <f t="shared" si="0"/>
        <v>OK</v>
      </c>
      <c r="J21" s="429" t="str">
        <f t="shared" si="1"/>
        <v>OK</v>
      </c>
      <c r="K21" s="429" t="str">
        <f t="shared" si="2"/>
        <v>OK</v>
      </c>
    </row>
    <row r="22" spans="1:11" ht="12.75">
      <c r="A22" s="147" t="str">
        <f>'t1'!A22</f>
        <v>POSIZIONE ECONOMICA D3</v>
      </c>
      <c r="B22" s="377" t="str">
        <f>'t1'!B22</f>
        <v>050000</v>
      </c>
      <c r="C22" s="403">
        <f>'t11'!AA24+'t11'!AB24</f>
        <v>542</v>
      </c>
      <c r="D22" s="403">
        <f>'t1'!L22+'t1'!M22</f>
        <v>12</v>
      </c>
      <c r="E22" s="403">
        <f>'t3'!M22+'t3'!N22+'t3'!O22+'t3'!P22+'t3'!Q22+'t3'!R22</f>
        <v>0</v>
      </c>
      <c r="F22" s="403">
        <f>'t4'!AT22</f>
        <v>0</v>
      </c>
      <c r="G22" s="401">
        <f>'t4'!S49</f>
        <v>0</v>
      </c>
      <c r="H22" s="403">
        <f>'t5'!Q23+'t5'!R23</f>
        <v>0</v>
      </c>
      <c r="I22" s="429" t="str">
        <f t="shared" si="0"/>
        <v>OK</v>
      </c>
      <c r="J22" s="429" t="str">
        <f t="shared" si="1"/>
        <v>OK</v>
      </c>
      <c r="K22" s="429" t="str">
        <f t="shared" si="2"/>
        <v>OK</v>
      </c>
    </row>
    <row r="23" spans="1:11" ht="12.75">
      <c r="A23" s="147" t="str">
        <f>'t1'!A23</f>
        <v>POSIZIONE ECONOMICA D2</v>
      </c>
      <c r="B23" s="377" t="str">
        <f>'t1'!B23</f>
        <v>049000</v>
      </c>
      <c r="C23" s="403">
        <f>'t11'!AA25+'t11'!AB25</f>
        <v>834</v>
      </c>
      <c r="D23" s="403">
        <f>'t1'!L23+'t1'!M23</f>
        <v>40</v>
      </c>
      <c r="E23" s="403">
        <f>'t3'!M23+'t3'!N23+'t3'!O23+'t3'!P23+'t3'!Q23+'t3'!R23</f>
        <v>0</v>
      </c>
      <c r="F23" s="403">
        <f>'t4'!AT23</f>
        <v>0</v>
      </c>
      <c r="G23" s="401">
        <f>'t4'!T49</f>
        <v>0</v>
      </c>
      <c r="H23" s="403">
        <f>'t5'!Q24+'t5'!R24</f>
        <v>0</v>
      </c>
      <c r="I23" s="429" t="str">
        <f t="shared" si="0"/>
        <v>OK</v>
      </c>
      <c r="J23" s="429" t="str">
        <f t="shared" si="1"/>
        <v>OK</v>
      </c>
      <c r="K23" s="429" t="str">
        <f t="shared" si="2"/>
        <v>OK</v>
      </c>
    </row>
    <row r="24" spans="1:11" ht="12.75">
      <c r="A24" s="147" t="str">
        <f>'t1'!A24</f>
        <v>POSIZIONE ECONOMICA DI ACCESSO D1</v>
      </c>
      <c r="B24" s="377" t="str">
        <f>'t1'!B24</f>
        <v>057000</v>
      </c>
      <c r="C24" s="403">
        <f>'t11'!AA26+'t11'!AB26</f>
        <v>142</v>
      </c>
      <c r="D24" s="403">
        <f>'t1'!L24+'t1'!M24</f>
        <v>3</v>
      </c>
      <c r="E24" s="403">
        <f>'t3'!M24+'t3'!N24+'t3'!O24+'t3'!P24+'t3'!Q24+'t3'!R24</f>
        <v>0</v>
      </c>
      <c r="F24" s="403">
        <f>'t4'!AT24</f>
        <v>0</v>
      </c>
      <c r="G24" s="401">
        <f>'t4'!U49</f>
        <v>0</v>
      </c>
      <c r="H24" s="403">
        <f>'t5'!Q25+'t5'!R25</f>
        <v>0</v>
      </c>
      <c r="I24" s="429" t="str">
        <f t="shared" si="0"/>
        <v>OK</v>
      </c>
      <c r="J24" s="429" t="str">
        <f t="shared" si="1"/>
        <v>OK</v>
      </c>
      <c r="K24" s="429" t="str">
        <f t="shared" si="2"/>
        <v>OK</v>
      </c>
    </row>
    <row r="25" spans="1:11" ht="12.75">
      <c r="A25" s="147" t="str">
        <f>'t1'!A25</f>
        <v>POSIZIONE ECONOMICA C5</v>
      </c>
      <c r="B25" s="377" t="str">
        <f>'t1'!B25</f>
        <v>046000</v>
      </c>
      <c r="C25" s="403">
        <f>'t11'!AA27+'t11'!AB27</f>
        <v>268</v>
      </c>
      <c r="D25" s="403">
        <f>'t1'!L25+'t1'!M25</f>
        <v>4</v>
      </c>
      <c r="E25" s="403">
        <f>'t3'!M25+'t3'!N25+'t3'!O25+'t3'!P25+'t3'!Q25+'t3'!R25</f>
        <v>0</v>
      </c>
      <c r="F25" s="403">
        <f>'t4'!AT25</f>
        <v>0</v>
      </c>
      <c r="G25" s="401">
        <f>'t4'!V49</f>
        <v>0</v>
      </c>
      <c r="H25" s="403">
        <f>'t5'!Q26+'t5'!R26</f>
        <v>1</v>
      </c>
      <c r="I25" s="429" t="str">
        <f t="shared" si="0"/>
        <v>OK</v>
      </c>
      <c r="J25" s="429" t="str">
        <f t="shared" si="1"/>
        <v>OK</v>
      </c>
      <c r="K25" s="429" t="str">
        <f t="shared" si="2"/>
        <v>OK</v>
      </c>
    </row>
    <row r="26" spans="1:11" ht="12.75">
      <c r="A26" s="147" t="str">
        <f>'t1'!A26</f>
        <v>POSIZIONE ECONOMICA C4</v>
      </c>
      <c r="B26" s="377" t="str">
        <f>'t1'!B26</f>
        <v>045000</v>
      </c>
      <c r="C26" s="403">
        <f>'t11'!AA28+'t11'!AB28</f>
        <v>1029</v>
      </c>
      <c r="D26" s="403">
        <f>'t1'!L26+'t1'!M26</f>
        <v>20</v>
      </c>
      <c r="E26" s="403">
        <f>'t3'!M26+'t3'!N26+'t3'!O26+'t3'!P26+'t3'!Q26+'t3'!R26</f>
        <v>0</v>
      </c>
      <c r="F26" s="403">
        <f>'t4'!AT26</f>
        <v>0</v>
      </c>
      <c r="G26" s="401">
        <f>'t4'!W49</f>
        <v>0</v>
      </c>
      <c r="H26" s="403">
        <f>'t5'!Q27+'t5'!R27</f>
        <v>0</v>
      </c>
      <c r="I26" s="429" t="str">
        <f t="shared" si="0"/>
        <v>OK</v>
      </c>
      <c r="J26" s="429" t="str">
        <f t="shared" si="1"/>
        <v>OK</v>
      </c>
      <c r="K26" s="429" t="str">
        <f t="shared" si="2"/>
        <v>OK</v>
      </c>
    </row>
    <row r="27" spans="1:11" ht="12.75">
      <c r="A27" s="147" t="str">
        <f>'t1'!A27</f>
        <v>POSIZIONE ECONOMICA C3</v>
      </c>
      <c r="B27" s="377" t="str">
        <f>'t1'!B27</f>
        <v>043000</v>
      </c>
      <c r="C27" s="403">
        <f>'t11'!AA29+'t11'!AB29</f>
        <v>1171</v>
      </c>
      <c r="D27" s="403">
        <f>'t1'!L27+'t1'!M27</f>
        <v>31</v>
      </c>
      <c r="E27" s="403">
        <f>'t3'!M27+'t3'!N27+'t3'!O27+'t3'!P27+'t3'!Q27+'t3'!R27</f>
        <v>0</v>
      </c>
      <c r="F27" s="403">
        <f>'t4'!AT27</f>
        <v>0</v>
      </c>
      <c r="G27" s="401">
        <f>'t4'!X49</f>
        <v>0</v>
      </c>
      <c r="H27" s="403">
        <f>'t5'!Q28+'t5'!R28</f>
        <v>0</v>
      </c>
      <c r="I27" s="429" t="str">
        <f t="shared" si="0"/>
        <v>OK</v>
      </c>
      <c r="J27" s="429" t="str">
        <f t="shared" si="1"/>
        <v>OK</v>
      </c>
      <c r="K27" s="429" t="str">
        <f t="shared" si="2"/>
        <v>OK</v>
      </c>
    </row>
    <row r="28" spans="1:11" ht="12.75">
      <c r="A28" s="147" t="str">
        <f>'t1'!A28</f>
        <v>POSIZIONE ECONOMICA C2</v>
      </c>
      <c r="B28" s="377" t="str">
        <f>'t1'!B28</f>
        <v>042000</v>
      </c>
      <c r="C28" s="403">
        <f>'t11'!AA30+'t11'!AB30</f>
        <v>1098</v>
      </c>
      <c r="D28" s="403">
        <f>'t1'!L28+'t1'!M28</f>
        <v>39</v>
      </c>
      <c r="E28" s="403">
        <f>'t3'!M28+'t3'!N28+'t3'!O28+'t3'!P28+'t3'!Q28+'t3'!R28</f>
        <v>0</v>
      </c>
      <c r="F28" s="403">
        <f>'t4'!AT28</f>
        <v>0</v>
      </c>
      <c r="G28" s="401">
        <f>'t4'!Y49</f>
        <v>0</v>
      </c>
      <c r="H28" s="403">
        <f>'t5'!Q29+'t5'!R29</f>
        <v>0</v>
      </c>
      <c r="I28" s="429" t="str">
        <f t="shared" si="0"/>
        <v>OK</v>
      </c>
      <c r="J28" s="429" t="str">
        <f t="shared" si="1"/>
        <v>OK</v>
      </c>
      <c r="K28" s="429" t="str">
        <f t="shared" si="2"/>
        <v>OK</v>
      </c>
    </row>
    <row r="29" spans="1:11" ht="12.75">
      <c r="A29" s="147" t="str">
        <f>'t1'!A29</f>
        <v>POSIZIONE ECONOMICA DI ACCESSO C1</v>
      </c>
      <c r="B29" s="377" t="str">
        <f>'t1'!B29</f>
        <v>056000</v>
      </c>
      <c r="C29" s="403">
        <f>'t11'!AA31+'t11'!AB31</f>
        <v>13</v>
      </c>
      <c r="D29" s="403">
        <f>'t1'!L29+'t1'!M29</f>
        <v>0</v>
      </c>
      <c r="E29" s="403">
        <f>'t3'!M29+'t3'!N29+'t3'!O29+'t3'!P29+'t3'!Q29+'t3'!R29</f>
        <v>0</v>
      </c>
      <c r="F29" s="403">
        <f>'t4'!AT29</f>
        <v>0</v>
      </c>
      <c r="G29" s="401">
        <f>'t4'!Z49</f>
        <v>0</v>
      </c>
      <c r="H29" s="403">
        <f>'t5'!Q30+'t5'!R30</f>
        <v>1</v>
      </c>
      <c r="I29" s="429" t="str">
        <f t="shared" si="0"/>
        <v>OK</v>
      </c>
      <c r="J29" s="429" t="str">
        <f t="shared" si="1"/>
        <v>OK</v>
      </c>
      <c r="K29" s="429" t="str">
        <f t="shared" si="2"/>
        <v>OK</v>
      </c>
    </row>
    <row r="30" spans="1:11" ht="12.75">
      <c r="A30" s="147" t="str">
        <f>'t1'!A30</f>
        <v>POSIZ. ECON. B7 - PROFILO ACCESSO B3</v>
      </c>
      <c r="B30" s="377" t="str">
        <f>'t1'!B30</f>
        <v>0B7A00</v>
      </c>
      <c r="C30" s="403">
        <f>'t11'!AA32+'t11'!AB32</f>
        <v>0</v>
      </c>
      <c r="D30" s="403">
        <f>'t1'!L30+'t1'!M30</f>
        <v>0</v>
      </c>
      <c r="E30" s="403">
        <f>'t3'!M30+'t3'!N30+'t3'!O30+'t3'!P30+'t3'!Q30+'t3'!R30</f>
        <v>0</v>
      </c>
      <c r="F30" s="403">
        <f>'t4'!AT30</f>
        <v>0</v>
      </c>
      <c r="G30" s="401">
        <f>'t4'!AA49</f>
        <v>0</v>
      </c>
      <c r="H30" s="403">
        <f>'t5'!Q31+'t5'!R31</f>
        <v>0</v>
      </c>
      <c r="I30" s="429" t="str">
        <f t="shared" si="0"/>
        <v>OK</v>
      </c>
      <c r="J30" s="429" t="str">
        <f t="shared" si="1"/>
        <v>OK</v>
      </c>
      <c r="K30" s="429" t="str">
        <f t="shared" si="2"/>
        <v>OK</v>
      </c>
    </row>
    <row r="31" spans="1:11" ht="12.75">
      <c r="A31" s="147" t="str">
        <f>'t1'!A31</f>
        <v>POSIZ. ECON. B7 - PROFILO  ACCESSO B1</v>
      </c>
      <c r="B31" s="377" t="str">
        <f>'t1'!B31</f>
        <v>0B7000</v>
      </c>
      <c r="C31" s="403">
        <f>'t11'!AA33+'t11'!AB33</f>
        <v>0</v>
      </c>
      <c r="D31" s="403">
        <f>'t1'!L31+'t1'!M31</f>
        <v>0</v>
      </c>
      <c r="E31" s="403">
        <f>'t3'!M31+'t3'!N31+'t3'!O31+'t3'!P31+'t3'!Q31+'t3'!R31</f>
        <v>0</v>
      </c>
      <c r="F31" s="403">
        <f>'t4'!AT31</f>
        <v>0</v>
      </c>
      <c r="G31" s="401">
        <f>'t4'!AB49</f>
        <v>0</v>
      </c>
      <c r="H31" s="403">
        <f>'t5'!Q32+'t5'!R32</f>
        <v>0</v>
      </c>
      <c r="I31" s="429" t="str">
        <f t="shared" si="0"/>
        <v>OK</v>
      </c>
      <c r="J31" s="429" t="str">
        <f t="shared" si="1"/>
        <v>OK</v>
      </c>
      <c r="K31" s="429" t="str">
        <f t="shared" si="2"/>
        <v>OK</v>
      </c>
    </row>
    <row r="32" spans="1:11" ht="12.75">
      <c r="A32" s="147" t="str">
        <f>'t1'!A32</f>
        <v>POSIZ.ECON. B6 PROFILI ACCESSO B3</v>
      </c>
      <c r="B32" s="377" t="str">
        <f>'t1'!B32</f>
        <v>038490</v>
      </c>
      <c r="C32" s="403">
        <f>'t11'!AA34+'t11'!AB34</f>
        <v>0</v>
      </c>
      <c r="D32" s="403">
        <f>'t1'!L32+'t1'!M32</f>
        <v>0</v>
      </c>
      <c r="E32" s="403">
        <f>'t3'!M32+'t3'!N32+'t3'!O32+'t3'!P32+'t3'!Q32+'t3'!R32</f>
        <v>0</v>
      </c>
      <c r="F32" s="403">
        <f>'t4'!AT32</f>
        <v>0</v>
      </c>
      <c r="G32" s="401">
        <f>'t4'!AC49</f>
        <v>0</v>
      </c>
      <c r="H32" s="403">
        <f>'t5'!Q33+'t5'!R33</f>
        <v>0</v>
      </c>
      <c r="I32" s="429" t="str">
        <f t="shared" si="0"/>
        <v>OK</v>
      </c>
      <c r="J32" s="429" t="str">
        <f t="shared" si="1"/>
        <v>OK</v>
      </c>
      <c r="K32" s="429" t="str">
        <f t="shared" si="2"/>
        <v>OK</v>
      </c>
    </row>
    <row r="33" spans="1:11" ht="12.75">
      <c r="A33" s="147" t="str">
        <f>'t1'!A33</f>
        <v>POSIZ.ECON. B6 PROFILI ACCESSO B1</v>
      </c>
      <c r="B33" s="377" t="str">
        <f>'t1'!B33</f>
        <v>038491</v>
      </c>
      <c r="C33" s="403">
        <f>'t11'!AA35+'t11'!AB35</f>
        <v>0</v>
      </c>
      <c r="D33" s="403">
        <f>'t1'!L33+'t1'!M33</f>
        <v>0</v>
      </c>
      <c r="E33" s="403">
        <f>'t3'!M33+'t3'!N33+'t3'!O33+'t3'!P33+'t3'!Q33+'t3'!R33</f>
        <v>0</v>
      </c>
      <c r="F33" s="403">
        <f>'t4'!AT33</f>
        <v>0</v>
      </c>
      <c r="G33" s="401">
        <f>'t4'!AD49</f>
        <v>0</v>
      </c>
      <c r="H33" s="403">
        <f>'t5'!Q34+'t5'!R34</f>
        <v>0</v>
      </c>
      <c r="I33" s="429" t="str">
        <f t="shared" si="0"/>
        <v>OK</v>
      </c>
      <c r="J33" s="429" t="str">
        <f t="shared" si="1"/>
        <v>OK</v>
      </c>
      <c r="K33" s="429" t="str">
        <f t="shared" si="2"/>
        <v>OK</v>
      </c>
    </row>
    <row r="34" spans="1:11" ht="12.75">
      <c r="A34" s="147" t="str">
        <f>'t1'!A34</f>
        <v>POSIZ.ECON. B5 PROFILI ACCESSO B3</v>
      </c>
      <c r="B34" s="377" t="str">
        <f>'t1'!B34</f>
        <v>037492</v>
      </c>
      <c r="C34" s="403">
        <f>'t11'!AA36+'t11'!AB36</f>
        <v>65</v>
      </c>
      <c r="D34" s="403">
        <f>'t1'!L34+'t1'!M34</f>
        <v>1</v>
      </c>
      <c r="E34" s="403">
        <f>'t3'!M34+'t3'!N34+'t3'!O34+'t3'!P34+'t3'!Q34+'t3'!R34</f>
        <v>0</v>
      </c>
      <c r="F34" s="403">
        <f>'t4'!AT34</f>
        <v>1</v>
      </c>
      <c r="G34" s="401">
        <f>'t4'!AE49</f>
        <v>1</v>
      </c>
      <c r="H34" s="403">
        <f>'t5'!Q35+'t5'!R35</f>
        <v>0</v>
      </c>
      <c r="I34" s="429" t="str">
        <f t="shared" si="0"/>
        <v>OK</v>
      </c>
      <c r="J34" s="429" t="str">
        <f t="shared" si="1"/>
        <v>OK</v>
      </c>
      <c r="K34" s="429" t="str">
        <f t="shared" si="2"/>
        <v>OK</v>
      </c>
    </row>
    <row r="35" spans="1:11" ht="12.75">
      <c r="A35" s="147" t="str">
        <f>'t1'!A35</f>
        <v>POSIZ.ECON. B5 PROFILI ACCESSO B1</v>
      </c>
      <c r="B35" s="377" t="str">
        <f>'t1'!B35</f>
        <v>037493</v>
      </c>
      <c r="C35" s="403">
        <f>'t11'!AA37+'t11'!AB37</f>
        <v>0</v>
      </c>
      <c r="D35" s="403">
        <f>'t1'!L35+'t1'!M35</f>
        <v>0</v>
      </c>
      <c r="E35" s="403">
        <f>'t3'!M35+'t3'!N35+'t3'!O35+'t3'!P35+'t3'!Q35+'t3'!R35</f>
        <v>0</v>
      </c>
      <c r="F35" s="403">
        <f>'t4'!AT35</f>
        <v>0</v>
      </c>
      <c r="G35" s="401">
        <f>'t4'!AF49</f>
        <v>0</v>
      </c>
      <c r="H35" s="403">
        <f>'t5'!Q36+'t5'!R36</f>
        <v>0</v>
      </c>
      <c r="I35" s="429" t="str">
        <f>IF(AND(J35="OK",K35="OK"),"OK","ERRORE")</f>
        <v>OK</v>
      </c>
      <c r="J35" s="429" t="str">
        <f aca="true" t="shared" si="3" ref="J35:J48">IF(AND(C35&gt;0,D35=0,E35=0,F35=0,G35=0,H35=0),"KO","OK")</f>
        <v>OK</v>
      </c>
      <c r="K35" s="429" t="str">
        <f aca="true" t="shared" si="4" ref="K35:K48">IF(AND(C35=0,OR(D35&gt;0,E35&gt;0,F35&gt;0,G35&gt;0,H35&gt;0)),"KO","OK")</f>
        <v>OK</v>
      </c>
    </row>
    <row r="36" spans="1:11" ht="12.75">
      <c r="A36" s="147" t="str">
        <f>'t1'!A36</f>
        <v>POSIZ.ECON. B4 PROFILI ACCESSO B3</v>
      </c>
      <c r="B36" s="377" t="str">
        <f>'t1'!B36</f>
        <v>036494</v>
      </c>
      <c r="C36" s="403">
        <f>'t11'!AA38+'t11'!AB38</f>
        <v>358</v>
      </c>
      <c r="D36" s="403">
        <f>'t1'!L36+'t1'!M36</f>
        <v>30</v>
      </c>
      <c r="E36" s="403">
        <f>'t3'!M36+'t3'!N36+'t3'!O36+'t3'!P36+'t3'!Q36+'t3'!R36</f>
        <v>0</v>
      </c>
      <c r="F36" s="403">
        <f>'t4'!AT36</f>
        <v>1</v>
      </c>
      <c r="G36" s="401">
        <f>'t4'!AG49</f>
        <v>0</v>
      </c>
      <c r="H36" s="403">
        <f>'t5'!Q37+'t5'!R37</f>
        <v>0</v>
      </c>
      <c r="I36" s="429" t="str">
        <f aca="true" t="shared" si="5" ref="I36:I48">IF(AND(J36="OK",K36="OK"),"OK","ERRORE")</f>
        <v>OK</v>
      </c>
      <c r="J36" s="429" t="str">
        <f t="shared" si="3"/>
        <v>OK</v>
      </c>
      <c r="K36" s="429" t="str">
        <f t="shared" si="4"/>
        <v>OK</v>
      </c>
    </row>
    <row r="37" spans="1:11" ht="12.75">
      <c r="A37" s="147" t="str">
        <f>'t1'!A37</f>
        <v>POSIZ.ECON. B4 PROFILI ACCESSO B1</v>
      </c>
      <c r="B37" s="377" t="str">
        <f>'t1'!B37</f>
        <v>036495</v>
      </c>
      <c r="C37" s="403">
        <f>'t11'!AA39+'t11'!AB39</f>
        <v>46</v>
      </c>
      <c r="D37" s="403">
        <f>'t1'!L37+'t1'!M37</f>
        <v>2</v>
      </c>
      <c r="E37" s="403">
        <f>'t3'!M37+'t3'!N37+'t3'!O37+'t3'!P37+'t3'!Q37+'t3'!R37</f>
        <v>0</v>
      </c>
      <c r="F37" s="403">
        <f>'t4'!AT37</f>
        <v>0</v>
      </c>
      <c r="G37" s="401">
        <f>'t4'!AH49</f>
        <v>0</v>
      </c>
      <c r="H37" s="403">
        <f>'t5'!Q38+'t5'!R38</f>
        <v>0</v>
      </c>
      <c r="I37" s="429" t="str">
        <f t="shared" si="5"/>
        <v>OK</v>
      </c>
      <c r="J37" s="429" t="str">
        <f t="shared" si="3"/>
        <v>OK</v>
      </c>
      <c r="K37" s="429" t="str">
        <f t="shared" si="4"/>
        <v>OK</v>
      </c>
    </row>
    <row r="38" spans="1:11" ht="12.75">
      <c r="A38" s="147" t="str">
        <f>'t1'!A38</f>
        <v>POSIZIONE ECONOMICA DI ACCESSO B3</v>
      </c>
      <c r="B38" s="377" t="str">
        <f>'t1'!B38</f>
        <v>055000</v>
      </c>
      <c r="C38" s="403">
        <f>'t11'!AA40+'t11'!AB40</f>
        <v>387</v>
      </c>
      <c r="D38" s="403">
        <f>'t1'!L38+'t1'!M38</f>
        <v>12</v>
      </c>
      <c r="E38" s="403">
        <f>'t3'!M38+'t3'!N38+'t3'!O38+'t3'!P38+'t3'!Q38+'t3'!R38</f>
        <v>0</v>
      </c>
      <c r="F38" s="403">
        <f>'t4'!AT38</f>
        <v>0</v>
      </c>
      <c r="G38" s="401">
        <f>'t4'!AI49</f>
        <v>0</v>
      </c>
      <c r="H38" s="403">
        <f>'t5'!Q39+'t5'!R39</f>
        <v>1</v>
      </c>
      <c r="I38" s="429" t="str">
        <f t="shared" si="5"/>
        <v>OK</v>
      </c>
      <c r="J38" s="429" t="str">
        <f t="shared" si="3"/>
        <v>OK</v>
      </c>
      <c r="K38" s="429" t="str">
        <f t="shared" si="4"/>
        <v>OK</v>
      </c>
    </row>
    <row r="39" spans="1:11" ht="12.75">
      <c r="A39" s="147" t="str">
        <f>'t1'!A39</f>
        <v>POSIZIONE ECONOMICA B3</v>
      </c>
      <c r="B39" s="377" t="str">
        <f>'t1'!B39</f>
        <v>034000</v>
      </c>
      <c r="C39" s="403">
        <f>'t11'!AA41+'t11'!AB41</f>
        <v>334</v>
      </c>
      <c r="D39" s="403">
        <f>'t1'!L39+'t1'!M39</f>
        <v>13</v>
      </c>
      <c r="E39" s="403">
        <f>'t3'!M39+'t3'!N39+'t3'!O39+'t3'!P39+'t3'!Q39+'t3'!R39</f>
        <v>0</v>
      </c>
      <c r="F39" s="403">
        <f>'t4'!AT39</f>
        <v>0</v>
      </c>
      <c r="G39" s="401">
        <f>'t4'!AJ49</f>
        <v>0</v>
      </c>
      <c r="H39" s="403">
        <f>'t5'!Q40+'t5'!R40</f>
        <v>0</v>
      </c>
      <c r="I39" s="429" t="str">
        <f t="shared" si="5"/>
        <v>OK</v>
      </c>
      <c r="J39" s="429" t="str">
        <f t="shared" si="3"/>
        <v>OK</v>
      </c>
      <c r="K39" s="429" t="str">
        <f t="shared" si="4"/>
        <v>OK</v>
      </c>
    </row>
    <row r="40" spans="1:11" ht="12.75">
      <c r="A40" s="147" t="str">
        <f>'t1'!A40</f>
        <v>POSIZIONE ECONOMICA B2</v>
      </c>
      <c r="B40" s="377" t="str">
        <f>'t1'!B40</f>
        <v>032000</v>
      </c>
      <c r="C40" s="403">
        <f>'t11'!AA42+'t11'!AB42</f>
        <v>181</v>
      </c>
      <c r="D40" s="403">
        <f>'t1'!L40+'t1'!M40</f>
        <v>10</v>
      </c>
      <c r="E40" s="403">
        <f>'t3'!M40+'t3'!N40+'t3'!O40+'t3'!P40+'t3'!Q40+'t3'!R40</f>
        <v>0</v>
      </c>
      <c r="F40" s="403">
        <f>'t4'!AT40</f>
        <v>0</v>
      </c>
      <c r="G40" s="401">
        <f>'t4'!AK49</f>
        <v>0</v>
      </c>
      <c r="H40" s="403">
        <f>'t5'!Q41+'t5'!R41</f>
        <v>0</v>
      </c>
      <c r="I40" s="429" t="str">
        <f t="shared" si="5"/>
        <v>OK</v>
      </c>
      <c r="J40" s="429" t="str">
        <f t="shared" si="3"/>
        <v>OK</v>
      </c>
      <c r="K40" s="429" t="str">
        <f t="shared" si="4"/>
        <v>OK</v>
      </c>
    </row>
    <row r="41" spans="1:11" ht="12.75">
      <c r="A41" s="147" t="str">
        <f>'t1'!A41</f>
        <v>POSIZIONE ECONOMICA DI ACCESSO B1</v>
      </c>
      <c r="B41" s="377" t="str">
        <f>'t1'!B41</f>
        <v>054000</v>
      </c>
      <c r="C41" s="403">
        <f>'t11'!AA43+'t11'!AB43</f>
        <v>77</v>
      </c>
      <c r="D41" s="403">
        <f>'t1'!L41+'t1'!M41</f>
        <v>1</v>
      </c>
      <c r="E41" s="403">
        <f>'t3'!M41+'t3'!N41+'t3'!O41+'t3'!P41+'t3'!Q41+'t3'!R41</f>
        <v>0</v>
      </c>
      <c r="F41" s="403">
        <f>'t4'!AT41</f>
        <v>0</v>
      </c>
      <c r="G41" s="401">
        <f>'t4'!AL49</f>
        <v>0</v>
      </c>
      <c r="H41" s="403">
        <f>'t5'!Q42+'t5'!R42</f>
        <v>0</v>
      </c>
      <c r="I41" s="429" t="str">
        <f t="shared" si="5"/>
        <v>OK</v>
      </c>
      <c r="J41" s="429" t="str">
        <f t="shared" si="3"/>
        <v>OK</v>
      </c>
      <c r="K41" s="429" t="str">
        <f t="shared" si="4"/>
        <v>OK</v>
      </c>
    </row>
    <row r="42" spans="1:11" ht="12.75">
      <c r="A42" s="147" t="str">
        <f>'t1'!A42</f>
        <v>POSIZIONE ECONOMICA A5</v>
      </c>
      <c r="B42" s="377" t="str">
        <f>'t1'!B42</f>
        <v>0A5000</v>
      </c>
      <c r="C42" s="403">
        <f>'t11'!AA44+'t11'!AB44</f>
        <v>0</v>
      </c>
      <c r="D42" s="403">
        <f>'t1'!L42+'t1'!M42</f>
        <v>0</v>
      </c>
      <c r="E42" s="403">
        <f>'t3'!M42+'t3'!N42+'t3'!O42+'t3'!P42+'t3'!Q42+'t3'!R42</f>
        <v>0</v>
      </c>
      <c r="F42" s="403">
        <f>'t4'!AT42</f>
        <v>0</v>
      </c>
      <c r="G42" s="401">
        <f>'t4'!AM49</f>
        <v>0</v>
      </c>
      <c r="H42" s="403">
        <f>'t5'!Q43+'t5'!R43</f>
        <v>0</v>
      </c>
      <c r="I42" s="429" t="str">
        <f t="shared" si="5"/>
        <v>OK</v>
      </c>
      <c r="J42" s="429" t="str">
        <f t="shared" si="3"/>
        <v>OK</v>
      </c>
      <c r="K42" s="429" t="str">
        <f t="shared" si="4"/>
        <v>OK</v>
      </c>
    </row>
    <row r="43" spans="1:11" ht="12.75">
      <c r="A43" s="147" t="str">
        <f>'t1'!A43</f>
        <v>POSIZIONE ECONOMICA A4</v>
      </c>
      <c r="B43" s="377" t="str">
        <f>'t1'!B43</f>
        <v>028000</v>
      </c>
      <c r="C43" s="403">
        <f>'t11'!AA45+'t11'!AB45</f>
        <v>0</v>
      </c>
      <c r="D43" s="403">
        <f>'t1'!L43+'t1'!M43</f>
        <v>0</v>
      </c>
      <c r="E43" s="403">
        <f>'t3'!M43+'t3'!N43+'t3'!O43+'t3'!P43+'t3'!Q43+'t3'!R43</f>
        <v>0</v>
      </c>
      <c r="F43" s="403">
        <f>'t4'!AT43</f>
        <v>0</v>
      </c>
      <c r="G43" s="401">
        <f>'t4'!AN49</f>
        <v>0</v>
      </c>
      <c r="H43" s="403">
        <f>'t5'!Q44+'t5'!R44</f>
        <v>0</v>
      </c>
      <c r="I43" s="429" t="str">
        <f t="shared" si="5"/>
        <v>OK</v>
      </c>
      <c r="J43" s="429" t="str">
        <f t="shared" si="3"/>
        <v>OK</v>
      </c>
      <c r="K43" s="429" t="str">
        <f t="shared" si="4"/>
        <v>OK</v>
      </c>
    </row>
    <row r="44" spans="1:11" ht="12.75">
      <c r="A44" s="147" t="str">
        <f>'t1'!A44</f>
        <v>POSIZIONE ECONOMICA A3</v>
      </c>
      <c r="B44" s="377" t="str">
        <f>'t1'!B44</f>
        <v>027000</v>
      </c>
      <c r="C44" s="403">
        <f>'t11'!AA46+'t11'!AB46</f>
        <v>0</v>
      </c>
      <c r="D44" s="403">
        <f>'t1'!L44+'t1'!M44</f>
        <v>0</v>
      </c>
      <c r="E44" s="403">
        <f>'t3'!M44+'t3'!N44+'t3'!O44+'t3'!P44+'t3'!Q44+'t3'!R44</f>
        <v>0</v>
      </c>
      <c r="F44" s="403">
        <f>'t4'!AT44</f>
        <v>0</v>
      </c>
      <c r="G44" s="401">
        <f>'t4'!AO49</f>
        <v>0</v>
      </c>
      <c r="H44" s="403">
        <f>'t5'!Q45+'t5'!R45</f>
        <v>0</v>
      </c>
      <c r="I44" s="429" t="str">
        <f t="shared" si="5"/>
        <v>OK</v>
      </c>
      <c r="J44" s="429" t="str">
        <f t="shared" si="3"/>
        <v>OK</v>
      </c>
      <c r="K44" s="429" t="str">
        <f t="shared" si="4"/>
        <v>OK</v>
      </c>
    </row>
    <row r="45" spans="1:11" ht="12.75">
      <c r="A45" s="147" t="str">
        <f>'t1'!A45</f>
        <v>POSIZIONE ECONOMICA A2</v>
      </c>
      <c r="B45" s="377" t="str">
        <f>'t1'!B45</f>
        <v>025000</v>
      </c>
      <c r="C45" s="403">
        <f>'t11'!AA47+'t11'!AB47</f>
        <v>0</v>
      </c>
      <c r="D45" s="403">
        <f>'t1'!L45+'t1'!M45</f>
        <v>0</v>
      </c>
      <c r="E45" s="403">
        <f>'t3'!M45+'t3'!N45+'t3'!O45+'t3'!P45+'t3'!Q45+'t3'!R45</f>
        <v>0</v>
      </c>
      <c r="F45" s="403">
        <f>'t4'!AT45</f>
        <v>0</v>
      </c>
      <c r="G45" s="401">
        <f>'t4'!AP49</f>
        <v>0</v>
      </c>
      <c r="H45" s="403">
        <f>'t5'!Q46+'t5'!R46</f>
        <v>0</v>
      </c>
      <c r="I45" s="429" t="str">
        <f t="shared" si="5"/>
        <v>OK</v>
      </c>
      <c r="J45" s="429" t="str">
        <f t="shared" si="3"/>
        <v>OK</v>
      </c>
      <c r="K45" s="429" t="str">
        <f t="shared" si="4"/>
        <v>OK</v>
      </c>
    </row>
    <row r="46" spans="1:11" ht="12.75">
      <c r="A46" s="147" t="str">
        <f>'t1'!A46</f>
        <v>POSIZIONE ECONOMICA DI ACCESSO A1</v>
      </c>
      <c r="B46" s="377" t="str">
        <f>'t1'!B46</f>
        <v>053000</v>
      </c>
      <c r="C46" s="403">
        <f>'t11'!AA48+'t11'!AB48</f>
        <v>26</v>
      </c>
      <c r="D46" s="403">
        <f>'t1'!L46+'t1'!M46</f>
        <v>1</v>
      </c>
      <c r="E46" s="403">
        <f>'t3'!M46+'t3'!N46+'t3'!O46+'t3'!P46+'t3'!Q46+'t3'!R46</f>
        <v>0</v>
      </c>
      <c r="F46" s="403">
        <f>'t4'!AT46</f>
        <v>0</v>
      </c>
      <c r="G46" s="401">
        <f>'t4'!AQ49</f>
        <v>0</v>
      </c>
      <c r="H46" s="403">
        <f>'t5'!Q47+'t5'!R47</f>
        <v>0</v>
      </c>
      <c r="I46" s="429" t="str">
        <f t="shared" si="5"/>
        <v>OK</v>
      </c>
      <c r="J46" s="429" t="str">
        <f t="shared" si="3"/>
        <v>OK</v>
      </c>
      <c r="K46" s="429" t="str">
        <f t="shared" si="4"/>
        <v>OK</v>
      </c>
    </row>
    <row r="47" spans="1:11" ht="12.75">
      <c r="A47" s="147" t="str">
        <f>'t1'!A47</f>
        <v>CONTRATTISTI (a)</v>
      </c>
      <c r="B47" s="377" t="str">
        <f>'t1'!B47</f>
        <v>000061</v>
      </c>
      <c r="C47" s="403">
        <f>'t11'!AA49+'t11'!AB49</f>
        <v>61</v>
      </c>
      <c r="D47" s="403">
        <f>'t1'!L47+'t1'!M47</f>
        <v>2</v>
      </c>
      <c r="E47" s="403">
        <f>'t3'!M47+'t3'!N47+'t3'!O47+'t3'!P47+'t3'!Q47+'t3'!R47</f>
        <v>0</v>
      </c>
      <c r="F47" s="403">
        <f>'t4'!AT47</f>
        <v>0</v>
      </c>
      <c r="G47" s="401">
        <f>'t4'!AR49</f>
        <v>0</v>
      </c>
      <c r="H47" s="403">
        <f>'t5'!Q48+'t5'!R48</f>
        <v>0</v>
      </c>
      <c r="I47" s="429" t="str">
        <f t="shared" si="5"/>
        <v>OK</v>
      </c>
      <c r="J47" s="429" t="str">
        <f t="shared" si="3"/>
        <v>OK</v>
      </c>
      <c r="K47" s="429" t="str">
        <f t="shared" si="4"/>
        <v>OK</v>
      </c>
    </row>
    <row r="48" spans="1:11" ht="12.75">
      <c r="A48" s="147" t="str">
        <f>'t1'!A48</f>
        <v>COLLABORATORE A TEMPO DETERMIN. (b)</v>
      </c>
      <c r="B48" s="377" t="str">
        <f>'t1'!B48</f>
        <v>000096</v>
      </c>
      <c r="C48" s="403">
        <f>'t11'!AA50+'t11'!AB50</f>
        <v>0</v>
      </c>
      <c r="D48" s="403">
        <f>'t1'!L48+'t1'!M48</f>
        <v>0</v>
      </c>
      <c r="E48" s="403">
        <f>'t3'!M48+'t3'!N48+'t3'!O48+'t3'!P48+'t3'!Q48+'t3'!R48</f>
        <v>0</v>
      </c>
      <c r="F48" s="403">
        <f>'t4'!AT48</f>
        <v>0</v>
      </c>
      <c r="G48" s="401">
        <f>'t4'!AS49</f>
        <v>0</v>
      </c>
      <c r="H48" s="403">
        <f>'t5'!Q49+'t5'!R49</f>
        <v>0</v>
      </c>
      <c r="I48" s="429" t="str">
        <f t="shared" si="5"/>
        <v>OK</v>
      </c>
      <c r="J48" s="429" t="str">
        <f t="shared" si="3"/>
        <v>OK</v>
      </c>
      <c r="K48" s="429" t="str">
        <f t="shared" si="4"/>
        <v>OK</v>
      </c>
    </row>
  </sheetData>
  <sheetProtection password="EA98" sheet="1" formatColumns="0" selectLockedCells="1" selectUnlockedCells="1"/>
  <mergeCells count="2">
    <mergeCell ref="A1:K1"/>
    <mergeCell ref="D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9">
    <pageSetUpPr fitToPage="1"/>
  </sheetPr>
  <dimension ref="A1:N64"/>
  <sheetViews>
    <sheetView zoomScale="75" zoomScaleNormal="75" zoomScalePageLayoutView="0" workbookViewId="0" topLeftCell="A1">
      <selection activeCell="E13" sqref="E13"/>
    </sheetView>
  </sheetViews>
  <sheetFormatPr defaultColWidth="12.83203125" defaultRowHeight="10.5"/>
  <cols>
    <col min="1" max="1" width="6.83203125" style="1132" customWidth="1"/>
    <col min="2" max="2" width="25.83203125" style="1140" customWidth="1"/>
    <col min="3" max="3" width="5.5" style="1140" customWidth="1"/>
    <col min="4" max="4" width="56.16015625" style="1140" customWidth="1"/>
    <col min="5" max="5" width="22.5" style="1140" customWidth="1"/>
    <col min="6" max="6" width="23.16015625" style="1140" customWidth="1"/>
    <col min="7" max="7" width="21.5" style="1140" customWidth="1"/>
    <col min="8" max="8" width="37" style="773" customWidth="1"/>
    <col min="9" max="9" width="6.83203125" style="776" hidden="1" customWidth="1"/>
    <col min="10" max="10" width="11.16015625" style="773" customWidth="1"/>
    <col min="11" max="16384" width="12.83203125" style="773" customWidth="1"/>
  </cols>
  <sheetData>
    <row r="1" spans="2:9" ht="62.25" customHeight="1">
      <c r="B1" s="1133"/>
      <c r="C1" s="1133"/>
      <c r="D1" s="1133"/>
      <c r="E1" s="1133"/>
      <c r="F1" s="1133"/>
      <c r="G1" s="1133"/>
      <c r="H1" s="716" t="s">
        <v>438</v>
      </c>
      <c r="I1" s="715"/>
    </row>
    <row r="2" spans="1:9" ht="26.25" customHeight="1" thickBot="1">
      <c r="A2" s="1134"/>
      <c r="B2" s="1135"/>
      <c r="C2" s="1135"/>
      <c r="D2" s="708" t="str">
        <f>'t1'!A1</f>
        <v>COMPARTO REGIONI ED AUTONOMIE LOCALI</v>
      </c>
      <c r="E2" s="1135"/>
      <c r="F2" s="1135"/>
      <c r="G2" s="1135"/>
      <c r="H2" s="717"/>
      <c r="I2" s="715"/>
    </row>
    <row r="3" spans="2:9" ht="15">
      <c r="B3" s="703"/>
      <c r="C3" s="703"/>
      <c r="D3" s="703"/>
      <c r="E3" s="703"/>
      <c r="F3" s="703"/>
      <c r="G3" s="703"/>
      <c r="H3" s="718"/>
      <c r="I3" s="715"/>
    </row>
    <row r="4" spans="2:9" ht="15" hidden="1">
      <c r="B4" s="699"/>
      <c r="C4" s="698"/>
      <c r="D4" s="699"/>
      <c r="E4" s="699"/>
      <c r="F4" s="719" t="s">
        <v>71</v>
      </c>
      <c r="G4" s="699"/>
      <c r="H4" s="718"/>
      <c r="I4" s="715"/>
    </row>
    <row r="5" spans="2:9" ht="15" hidden="1">
      <c r="B5" s="699"/>
      <c r="C5" s="698"/>
      <c r="D5" s="699"/>
      <c r="E5" s="699"/>
      <c r="F5" s="726"/>
      <c r="G5" s="699"/>
      <c r="H5" s="718"/>
      <c r="I5" s="715"/>
    </row>
    <row r="6" spans="1:9" ht="17.25" customHeight="1" hidden="1">
      <c r="A6" s="1132" t="s">
        <v>338</v>
      </c>
      <c r="B6" s="704" t="s">
        <v>456</v>
      </c>
      <c r="C6" s="1136"/>
      <c r="D6" s="1133"/>
      <c r="E6" s="1133"/>
      <c r="F6" s="724"/>
      <c r="G6" s="1133"/>
      <c r="H6" s="718"/>
      <c r="I6" s="715"/>
    </row>
    <row r="7" spans="2:9" ht="17.25" customHeight="1" hidden="1">
      <c r="B7" s="699"/>
      <c r="C7" s="698"/>
      <c r="D7" s="699"/>
      <c r="E7" s="699"/>
      <c r="F7" s="699"/>
      <c r="G7" s="699"/>
      <c r="H7" s="718"/>
      <c r="I7" s="715"/>
    </row>
    <row r="8" spans="1:9" ht="15" customHeight="1" hidden="1">
      <c r="A8" s="1132" t="s">
        <v>339</v>
      </c>
      <c r="B8" s="736" t="s">
        <v>457</v>
      </c>
      <c r="C8" s="698"/>
      <c r="D8" s="699"/>
      <c r="E8" s="699"/>
      <c r="F8" s="724"/>
      <c r="G8" s="699"/>
      <c r="H8" s="718"/>
      <c r="I8" s="715"/>
    </row>
    <row r="9" spans="2:9" ht="15" customHeight="1" hidden="1">
      <c r="B9" s="737"/>
      <c r="C9" s="698"/>
      <c r="D9" s="699"/>
      <c r="E9" s="699"/>
      <c r="F9" s="699"/>
      <c r="G9" s="699"/>
      <c r="H9" s="718"/>
      <c r="I9" s="715"/>
    </row>
    <row r="10" spans="2:9" ht="17.25" customHeight="1">
      <c r="B10" s="699"/>
      <c r="C10" s="698"/>
      <c r="D10" s="699"/>
      <c r="E10" s="699"/>
      <c r="F10" s="719" t="s">
        <v>298</v>
      </c>
      <c r="G10" s="719" t="s">
        <v>299</v>
      </c>
      <c r="H10" s="718"/>
      <c r="I10" s="715"/>
    </row>
    <row r="11" spans="1:14" ht="20.25" customHeight="1">
      <c r="A11" s="1132" t="s">
        <v>347</v>
      </c>
      <c r="B11" s="706" t="s">
        <v>455</v>
      </c>
      <c r="C11" s="698"/>
      <c r="D11" s="699"/>
      <c r="E11" s="699"/>
      <c r="F11" s="654"/>
      <c r="G11" s="654"/>
      <c r="H11" s="1137" t="str">
        <f>IF(I11=0,"RISPOSTA OBBLIGATORIA","")</f>
        <v>RISPOSTA OBBLIGATORIA</v>
      </c>
      <c r="I11" s="715">
        <v>0</v>
      </c>
      <c r="N11" s="775"/>
    </row>
    <row r="12" spans="2:9" ht="15" customHeight="1">
      <c r="B12" s="699"/>
      <c r="C12" s="699"/>
      <c r="D12" s="699"/>
      <c r="E12" s="699"/>
      <c r="F12" s="699"/>
      <c r="G12" s="699"/>
      <c r="H12" s="721"/>
      <c r="I12" s="715"/>
    </row>
    <row r="13" spans="2:9" ht="15" customHeight="1">
      <c r="B13" s="1308" t="s">
        <v>702</v>
      </c>
      <c r="C13" s="1309"/>
      <c r="D13" s="1310"/>
      <c r="E13" s="724"/>
      <c r="F13" s="1319" t="str">
        <f>IF(E13:E22=0,"RISPOSTA OBBLIGATORIA","")</f>
        <v>RISPOSTA OBBLIGATORIA</v>
      </c>
      <c r="G13" s="1320"/>
      <c r="H13" s="1321"/>
      <c r="I13" s="715"/>
    </row>
    <row r="14" spans="2:9" ht="15" customHeight="1">
      <c r="B14" s="1309"/>
      <c r="C14" s="1309"/>
      <c r="D14" s="1310"/>
      <c r="E14" s="739"/>
      <c r="F14" s="1322"/>
      <c r="G14" s="1323"/>
      <c r="H14" s="1324"/>
      <c r="I14" s="590"/>
    </row>
    <row r="15" spans="1:9" ht="15" customHeight="1">
      <c r="A15" s="740"/>
      <c r="B15" s="1309"/>
      <c r="C15" s="1309"/>
      <c r="D15" s="1310"/>
      <c r="E15" s="739"/>
      <c r="F15" s="1322"/>
      <c r="G15" s="1323"/>
      <c r="H15" s="1324"/>
      <c r="I15" s="590"/>
    </row>
    <row r="16" spans="1:9" ht="15" customHeight="1">
      <c r="A16" s="740"/>
      <c r="B16" s="1309"/>
      <c r="C16" s="1309"/>
      <c r="D16" s="1310"/>
      <c r="E16" s="739"/>
      <c r="F16" s="1322"/>
      <c r="G16" s="1323"/>
      <c r="H16" s="1324"/>
      <c r="I16" s="590"/>
    </row>
    <row r="17" spans="1:9" ht="15" customHeight="1">
      <c r="A17" s="740"/>
      <c r="B17" s="1309"/>
      <c r="C17" s="1309"/>
      <c r="D17" s="1310"/>
      <c r="E17" s="739"/>
      <c r="F17" s="1322"/>
      <c r="G17" s="1323"/>
      <c r="H17" s="1324"/>
      <c r="I17" s="590"/>
    </row>
    <row r="18" spans="1:9" ht="15" customHeight="1">
      <c r="A18" s="740"/>
      <c r="B18" s="1309"/>
      <c r="C18" s="1309"/>
      <c r="D18" s="1310"/>
      <c r="E18" s="739"/>
      <c r="F18" s="1322"/>
      <c r="G18" s="1323"/>
      <c r="H18" s="1324"/>
      <c r="I18" s="590"/>
    </row>
    <row r="19" spans="1:9" ht="15" customHeight="1">
      <c r="A19" s="740"/>
      <c r="B19" s="1309"/>
      <c r="C19" s="1309"/>
      <c r="D19" s="1310"/>
      <c r="E19" s="739"/>
      <c r="F19" s="1322"/>
      <c r="G19" s="1323"/>
      <c r="H19" s="1324"/>
      <c r="I19" s="590"/>
    </row>
    <row r="20" spans="1:10" s="774" customFormat="1" ht="15" customHeight="1">
      <c r="A20" s="740"/>
      <c r="B20" s="1309"/>
      <c r="C20" s="1309"/>
      <c r="D20" s="1310"/>
      <c r="E20" s="739"/>
      <c r="F20" s="1322"/>
      <c r="G20" s="1323"/>
      <c r="H20" s="1324"/>
      <c r="I20" s="735"/>
      <c r="J20" s="773"/>
    </row>
    <row r="21" spans="1:9" ht="15" customHeight="1">
      <c r="A21" s="740"/>
      <c r="B21" s="1309"/>
      <c r="C21" s="1309"/>
      <c r="D21" s="1310"/>
      <c r="E21" s="739"/>
      <c r="F21" s="1322"/>
      <c r="G21" s="1323"/>
      <c r="H21" s="1324"/>
      <c r="I21" s="590"/>
    </row>
    <row r="22" spans="1:9" ht="15" customHeight="1">
      <c r="A22" s="740"/>
      <c r="B22" s="1309"/>
      <c r="C22" s="1309"/>
      <c r="D22" s="1310"/>
      <c r="E22" s="739"/>
      <c r="F22" s="1322"/>
      <c r="G22" s="1323"/>
      <c r="H22" s="1324"/>
      <c r="I22" s="590"/>
    </row>
    <row r="23" spans="1:9" ht="15" customHeight="1">
      <c r="A23" s="740"/>
      <c r="B23" s="740"/>
      <c r="C23" s="740"/>
      <c r="D23" s="740"/>
      <c r="E23" s="740"/>
      <c r="F23" s="727"/>
      <c r="G23" s="727"/>
      <c r="H23" s="738"/>
      <c r="I23" s="590"/>
    </row>
    <row r="24" spans="2:9" ht="15" customHeight="1">
      <c r="B24" s="1133"/>
      <c r="C24" s="1133"/>
      <c r="D24" s="1133"/>
      <c r="E24" s="1133"/>
      <c r="F24" s="719" t="s">
        <v>298</v>
      </c>
      <c r="G24" s="719" t="s">
        <v>299</v>
      </c>
      <c r="H24" s="718"/>
      <c r="I24" s="715"/>
    </row>
    <row r="25" spans="2:9" ht="20.25" customHeight="1" hidden="1">
      <c r="B25" s="706"/>
      <c r="C25" s="699"/>
      <c r="D25" s="727"/>
      <c r="E25" s="727"/>
      <c r="F25" s="1145"/>
      <c r="G25" s="1145"/>
      <c r="H25" s="1137"/>
      <c r="I25" s="715"/>
    </row>
    <row r="26" spans="2:9" ht="15" customHeight="1" hidden="1">
      <c r="B26" s="1133"/>
      <c r="C26" s="1133"/>
      <c r="D26" s="1133"/>
      <c r="E26" s="1133"/>
      <c r="F26" s="1146"/>
      <c r="G26" s="1146"/>
      <c r="H26" s="718"/>
      <c r="I26" s="715"/>
    </row>
    <row r="27" spans="2:14" ht="20.25" customHeight="1" hidden="1">
      <c r="B27" s="728"/>
      <c r="C27" s="702"/>
      <c r="D27" s="702"/>
      <c r="E27" s="702"/>
      <c r="F27" s="654"/>
      <c r="G27" s="654"/>
      <c r="H27" s="1137"/>
      <c r="I27" s="715"/>
      <c r="N27" s="775"/>
    </row>
    <row r="28" spans="2:9" ht="15" customHeight="1" hidden="1">
      <c r="B28" s="702"/>
      <c r="C28" s="702"/>
      <c r="D28" s="702"/>
      <c r="E28" s="702"/>
      <c r="F28" s="1133"/>
      <c r="G28" s="1133"/>
      <c r="H28" s="718"/>
      <c r="I28" s="715"/>
    </row>
    <row r="29" spans="1:14" ht="43.5" customHeight="1">
      <c r="A29" s="1132" t="s">
        <v>341</v>
      </c>
      <c r="B29" s="1292" t="s">
        <v>877</v>
      </c>
      <c r="C29" s="1301"/>
      <c r="D29" s="1301"/>
      <c r="E29" s="1301"/>
      <c r="F29" s="654"/>
      <c r="G29" s="654"/>
      <c r="H29" s="1137" t="str">
        <f>IF(I29=0,"RISPOSTA OBBLIGATORIA","")</f>
        <v>RISPOSTA OBBLIGATORIA</v>
      </c>
      <c r="I29" s="715">
        <v>0</v>
      </c>
      <c r="N29" s="775"/>
    </row>
    <row r="30" spans="2:9" ht="15" customHeight="1">
      <c r="B30" s="702"/>
      <c r="C30" s="702"/>
      <c r="D30" s="702"/>
      <c r="E30" s="702"/>
      <c r="F30" s="1133"/>
      <c r="G30" s="1133"/>
      <c r="H30" s="718"/>
      <c r="I30" s="715"/>
    </row>
    <row r="31" spans="1:14" ht="43.5" customHeight="1">
      <c r="A31" s="1132" t="s">
        <v>342</v>
      </c>
      <c r="B31" s="1290" t="s">
        <v>693</v>
      </c>
      <c r="C31" s="1291"/>
      <c r="D31" s="1291"/>
      <c r="E31" s="1291"/>
      <c r="F31" s="654"/>
      <c r="G31" s="654"/>
      <c r="H31" s="1137" t="str">
        <f>IF(I31=0,"RISPOSTA OBBLIGATORIA","")</f>
        <v>RISPOSTA OBBLIGATORIA</v>
      </c>
      <c r="I31" s="715">
        <v>0</v>
      </c>
      <c r="N31" s="775"/>
    </row>
    <row r="32" spans="2:9" ht="15" customHeight="1">
      <c r="B32" s="699"/>
      <c r="C32" s="702"/>
      <c r="D32" s="702"/>
      <c r="E32" s="702"/>
      <c r="F32" s="1133"/>
      <c r="G32" s="1133"/>
      <c r="H32" s="718"/>
      <c r="I32" s="715"/>
    </row>
    <row r="33" spans="1:14" ht="31.5" customHeight="1">
      <c r="A33" s="1132" t="s">
        <v>345</v>
      </c>
      <c r="B33" s="1290" t="s">
        <v>694</v>
      </c>
      <c r="C33" s="1291"/>
      <c r="D33" s="1291"/>
      <c r="E33" s="1291"/>
      <c r="F33" s="654"/>
      <c r="G33" s="654"/>
      <c r="H33" s="1137" t="str">
        <f>IF(I33=0,"RISPOSTA OBBLIGATORIA","")</f>
        <v>RISPOSTA OBBLIGATORIA</v>
      </c>
      <c r="I33" s="715">
        <v>0</v>
      </c>
      <c r="N33" s="775"/>
    </row>
    <row r="34" spans="2:9" ht="15" customHeight="1" hidden="1">
      <c r="B34" s="699"/>
      <c r="C34" s="702"/>
      <c r="D34" s="702"/>
      <c r="E34" s="702"/>
      <c r="F34" s="1133"/>
      <c r="G34" s="1133"/>
      <c r="H34" s="718"/>
      <c r="I34" s="715"/>
    </row>
    <row r="35" spans="2:14" ht="20.25" customHeight="1" hidden="1">
      <c r="B35" s="702"/>
      <c r="C35" s="702"/>
      <c r="D35" s="702"/>
      <c r="E35" s="702"/>
      <c r="F35" s="1133"/>
      <c r="G35" s="1133"/>
      <c r="H35" s="718"/>
      <c r="I35"/>
      <c r="N35" s="775"/>
    </row>
    <row r="36" spans="2:9" ht="15" customHeight="1" hidden="1">
      <c r="B36" s="702"/>
      <c r="C36" s="702"/>
      <c r="D36" s="702"/>
      <c r="E36" s="702"/>
      <c r="F36" s="1133"/>
      <c r="G36" s="1133"/>
      <c r="H36" s="718"/>
      <c r="I36"/>
    </row>
    <row r="37" spans="2:9" ht="15" customHeight="1" hidden="1">
      <c r="B37" s="702"/>
      <c r="C37" s="702"/>
      <c r="D37" s="702"/>
      <c r="E37" s="702"/>
      <c r="F37" s="1133"/>
      <c r="G37" s="1133"/>
      <c r="H37" s="718"/>
      <c r="I37"/>
    </row>
    <row r="38" spans="2:9" ht="15" customHeight="1" hidden="1">
      <c r="B38" s="702"/>
      <c r="C38" s="702"/>
      <c r="D38" s="702"/>
      <c r="E38" s="702"/>
      <c r="F38" s="1133"/>
      <c r="G38" s="1133"/>
      <c r="H38" s="718"/>
      <c r="I38"/>
    </row>
    <row r="39" spans="2:9" ht="15" customHeight="1" hidden="1">
      <c r="B39" s="702"/>
      <c r="C39" s="702"/>
      <c r="D39" s="702"/>
      <c r="E39" s="702"/>
      <c r="F39" s="1133"/>
      <c r="G39" s="1133"/>
      <c r="H39" s="718"/>
      <c r="I39"/>
    </row>
    <row r="40" spans="2:9" ht="15" customHeight="1" hidden="1">
      <c r="B40" s="702"/>
      <c r="C40" s="702"/>
      <c r="D40" s="702"/>
      <c r="E40" s="702"/>
      <c r="F40" s="1133"/>
      <c r="G40" s="1133"/>
      <c r="H40" s="718"/>
      <c r="I40"/>
    </row>
    <row r="41" spans="2:9" ht="15" customHeight="1">
      <c r="B41" s="702"/>
      <c r="C41" s="702"/>
      <c r="D41" s="702"/>
      <c r="E41" s="702"/>
      <c r="F41" s="1133"/>
      <c r="G41" s="1133"/>
      <c r="H41" s="718"/>
      <c r="I41" s="715"/>
    </row>
    <row r="42" spans="2:9" ht="15" customHeight="1" hidden="1">
      <c r="B42" s="702"/>
      <c r="C42" s="702"/>
      <c r="D42" s="702"/>
      <c r="E42" s="702"/>
      <c r="F42" s="719" t="s">
        <v>298</v>
      </c>
      <c r="G42" s="719" t="s">
        <v>299</v>
      </c>
      <c r="H42" s="718"/>
      <c r="I42" s="715"/>
    </row>
    <row r="43" spans="1:14" ht="31.5" customHeight="1">
      <c r="A43" s="1132" t="s">
        <v>349</v>
      </c>
      <c r="B43" s="1296" t="s">
        <v>696</v>
      </c>
      <c r="C43" s="1296"/>
      <c r="D43" s="1296"/>
      <c r="E43" s="1297"/>
      <c r="F43" s="654"/>
      <c r="G43" s="654"/>
      <c r="H43" s="1137" t="str">
        <f>IF(I43=0,"RISPOSTA OBBLIGATORIA","")</f>
        <v>RISPOSTA OBBLIGATORIA</v>
      </c>
      <c r="I43" s="715">
        <v>0</v>
      </c>
      <c r="N43" s="775"/>
    </row>
    <row r="44" spans="2:9" ht="15" customHeight="1">
      <c r="B44" s="702"/>
      <c r="C44" s="702"/>
      <c r="D44" s="702"/>
      <c r="E44" s="702"/>
      <c r="F44" s="1133"/>
      <c r="G44" s="1133"/>
      <c r="H44" s="718"/>
      <c r="I44" s="715"/>
    </row>
    <row r="45" spans="1:14" ht="20.25" customHeight="1">
      <c r="A45" s="1132" t="s">
        <v>439</v>
      </c>
      <c r="B45" s="728" t="s">
        <v>486</v>
      </c>
      <c r="C45" s="702"/>
      <c r="D45" s="702"/>
      <c r="E45" s="702"/>
      <c r="F45" s="654"/>
      <c r="G45" s="654"/>
      <c r="H45" s="1137" t="str">
        <f>IF(I45=0,"RISPOSTA OBBLIGATORIA","")</f>
        <v>RISPOSTA OBBLIGATORIA</v>
      </c>
      <c r="I45" s="715">
        <v>0</v>
      </c>
      <c r="N45" s="775"/>
    </row>
    <row r="46" spans="2:9" ht="15" customHeight="1">
      <c r="B46" s="702"/>
      <c r="C46" s="702"/>
      <c r="D46" s="702"/>
      <c r="E46" s="702"/>
      <c r="F46" s="1133"/>
      <c r="G46" s="1133"/>
      <c r="H46" s="718"/>
      <c r="I46" s="715"/>
    </row>
    <row r="47" spans="2:9" ht="15" customHeight="1">
      <c r="B47" s="702"/>
      <c r="C47" s="702"/>
      <c r="D47" s="702"/>
      <c r="E47" s="702"/>
      <c r="F47" s="719" t="s">
        <v>71</v>
      </c>
      <c r="G47" s="1133"/>
      <c r="H47" s="718"/>
      <c r="I47" s="715"/>
    </row>
    <row r="48" spans="1:9" ht="33" customHeight="1">
      <c r="A48" s="1132" t="s">
        <v>471</v>
      </c>
      <c r="B48" s="1300" t="s">
        <v>549</v>
      </c>
      <c r="C48" s="1301"/>
      <c r="D48" s="1301"/>
      <c r="E48" s="1302"/>
      <c r="F48" s="741"/>
      <c r="G48" s="1304" t="str">
        <f>IF(F48=0,"RISPOSTA OBBLIGATORIA","")</f>
        <v>RISPOSTA OBBLIGATORIA</v>
      </c>
      <c r="H48" s="1305"/>
      <c r="I48" s="715"/>
    </row>
    <row r="49" spans="2:9" ht="15" customHeight="1">
      <c r="B49" s="702"/>
      <c r="C49" s="702"/>
      <c r="D49" s="702"/>
      <c r="E49" s="702"/>
      <c r="F49" s="1133"/>
      <c r="G49" s="1133"/>
      <c r="H49" s="718"/>
      <c r="I49" s="715"/>
    </row>
    <row r="50" spans="2:9" ht="15" customHeight="1">
      <c r="B50" s="702"/>
      <c r="C50" s="702"/>
      <c r="D50" s="702"/>
      <c r="E50" s="702"/>
      <c r="F50" s="719" t="s">
        <v>70</v>
      </c>
      <c r="G50" s="1133"/>
      <c r="H50" s="718"/>
      <c r="I50" s="715"/>
    </row>
    <row r="51" spans="2:9" ht="15" customHeight="1" hidden="1">
      <c r="B51" s="704"/>
      <c r="C51" s="705"/>
      <c r="D51" s="702"/>
      <c r="E51" s="702"/>
      <c r="F51" s="724"/>
      <c r="G51" s="1133"/>
      <c r="H51" s="718"/>
      <c r="I51" s="715"/>
    </row>
    <row r="52" spans="2:9" ht="15" customHeight="1" hidden="1">
      <c r="B52" s="702"/>
      <c r="C52" s="702"/>
      <c r="D52" s="702"/>
      <c r="E52" s="702"/>
      <c r="F52" s="1133"/>
      <c r="G52" s="1133"/>
      <c r="H52" s="718"/>
      <c r="I52" s="715"/>
    </row>
    <row r="53" spans="2:9" ht="15" customHeight="1" hidden="1">
      <c r="B53" s="706"/>
      <c r="C53" s="702"/>
      <c r="D53" s="702"/>
      <c r="E53" s="702"/>
      <c r="F53" s="724"/>
      <c r="G53" s="1133"/>
      <c r="H53" s="718"/>
      <c r="I53" s="715"/>
    </row>
    <row r="54" spans="2:9" ht="15" customHeight="1" hidden="1">
      <c r="B54" s="702"/>
      <c r="C54" s="702"/>
      <c r="D54" s="702"/>
      <c r="E54" s="702"/>
      <c r="F54" s="1133"/>
      <c r="G54" s="1133"/>
      <c r="H54" s="718"/>
      <c r="I54" s="715"/>
    </row>
    <row r="55" spans="1:9" ht="28.5" customHeight="1">
      <c r="A55" s="1132" t="s">
        <v>474</v>
      </c>
      <c r="B55" s="1292" t="s">
        <v>699</v>
      </c>
      <c r="C55" s="1301"/>
      <c r="D55" s="1301"/>
      <c r="E55" s="1302"/>
      <c r="F55" s="724">
        <v>0</v>
      </c>
      <c r="G55" s="1304">
        <f>IF(F55="","RISPOSTA OBBLIGATORIA","")</f>
      </c>
      <c r="H55" s="1305"/>
      <c r="I55" s="715"/>
    </row>
    <row r="56" spans="2:9" ht="15" customHeight="1">
      <c r="B56" s="1133"/>
      <c r="C56" s="1133"/>
      <c r="D56" s="1133"/>
      <c r="E56" s="1133"/>
      <c r="F56" s="712"/>
      <c r="G56" s="1133"/>
      <c r="H56" s="718"/>
      <c r="I56" s="715"/>
    </row>
    <row r="57" spans="2:9" ht="15" customHeight="1">
      <c r="B57" s="1133"/>
      <c r="C57" s="1133"/>
      <c r="D57" s="1133"/>
      <c r="E57" s="1133"/>
      <c r="F57" s="719" t="s">
        <v>298</v>
      </c>
      <c r="G57" s="719" t="s">
        <v>299</v>
      </c>
      <c r="H57" s="718"/>
      <c r="I57" s="777"/>
    </row>
    <row r="58" spans="2:8" ht="20.25" customHeight="1" hidden="1">
      <c r="B58" s="706"/>
      <c r="C58" s="1133"/>
      <c r="D58" s="1133"/>
      <c r="E58" s="1133"/>
      <c r="F58" s="654"/>
      <c r="G58" s="654"/>
      <c r="H58" s="1137"/>
    </row>
    <row r="59" spans="2:8" ht="20.25" customHeight="1" hidden="1">
      <c r="B59" s="706"/>
      <c r="C59" s="768"/>
      <c r="D59" s="768"/>
      <c r="E59" s="1133"/>
      <c r="F59" s="712"/>
      <c r="G59" s="712"/>
      <c r="H59" s="1137"/>
    </row>
    <row r="60" spans="2:8" ht="20.25" customHeight="1" hidden="1">
      <c r="B60" s="1133"/>
      <c r="C60" s="728"/>
      <c r="D60" s="1133"/>
      <c r="E60" s="1133"/>
      <c r="F60" s="769"/>
      <c r="G60" s="769"/>
      <c r="H60" s="733"/>
    </row>
    <row r="61" spans="2:8" ht="46.5" customHeight="1" hidden="1">
      <c r="B61" s="1142"/>
      <c r="C61" s="1292"/>
      <c r="D61" s="1292"/>
      <c r="E61" s="1292"/>
      <c r="F61" s="1143"/>
      <c r="G61" s="1143"/>
      <c r="H61" s="733"/>
    </row>
    <row r="62" spans="2:8" ht="18.75" customHeight="1" hidden="1">
      <c r="B62" s="1142"/>
      <c r="C62" s="1293"/>
      <c r="D62" s="1293"/>
      <c r="E62" s="765"/>
      <c r="F62" s="1133"/>
      <c r="G62" s="1144"/>
      <c r="H62" s="733"/>
    </row>
    <row r="63" spans="1:9" ht="43.5" customHeight="1">
      <c r="A63" s="1132" t="s">
        <v>632</v>
      </c>
      <c r="B63" s="1292" t="s">
        <v>701</v>
      </c>
      <c r="C63" s="1317"/>
      <c r="D63" s="1317"/>
      <c r="E63" s="1318"/>
      <c r="F63" s="1143"/>
      <c r="G63" s="1143"/>
      <c r="H63" s="1137" t="str">
        <f>IF(I63=0,"RISPOSTA OBBLIGATORIA","")</f>
        <v>RISPOSTA OBBLIGATORIA</v>
      </c>
      <c r="I63" s="776">
        <v>0</v>
      </c>
    </row>
    <row r="64" spans="1:9" ht="15">
      <c r="A64" s="1138"/>
      <c r="B64" s="1139"/>
      <c r="C64" s="1139"/>
      <c r="D64" s="1139"/>
      <c r="E64" s="1139"/>
      <c r="F64" s="1139"/>
      <c r="G64" s="1139"/>
      <c r="H64" s="729"/>
      <c r="I64" s="776">
        <f>SUM(I11,I29,I31,I33,I43,I45,I63,SUM(F48,F55))</f>
        <v>0</v>
      </c>
    </row>
  </sheetData>
  <sheetProtection password="EA98" sheet="1" formatColumns="0" selectLockedCells="1"/>
  <mergeCells count="13">
    <mergeCell ref="B13:D22"/>
    <mergeCell ref="F13:H22"/>
    <mergeCell ref="B55:E55"/>
    <mergeCell ref="B29:E29"/>
    <mergeCell ref="B31:E31"/>
    <mergeCell ref="B33:E33"/>
    <mergeCell ref="B48:E48"/>
    <mergeCell ref="C61:E61"/>
    <mergeCell ref="C62:D62"/>
    <mergeCell ref="B43:E43"/>
    <mergeCell ref="G55:H55"/>
    <mergeCell ref="G48:H48"/>
    <mergeCell ref="B63:E63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51 F55 F53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horizontalDpi="600" verticalDpi="600" orientation="portrait" paperSize="9" scale="63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7">
    <pageSetUpPr fitToPage="1"/>
  </sheetPr>
  <dimension ref="A1:N64"/>
  <sheetViews>
    <sheetView zoomScale="75" zoomScaleNormal="75" zoomScalePageLayoutView="0" workbookViewId="0" topLeftCell="A1">
      <selection activeCell="F6" sqref="F6"/>
    </sheetView>
  </sheetViews>
  <sheetFormatPr defaultColWidth="12.83203125" defaultRowHeight="10.5"/>
  <cols>
    <col min="1" max="1" width="6.83203125" style="1132" customWidth="1"/>
    <col min="2" max="2" width="25.83203125" style="1140" customWidth="1"/>
    <col min="3" max="3" width="5.5" style="1140" customWidth="1"/>
    <col min="4" max="4" width="56.16015625" style="1140" customWidth="1"/>
    <col min="5" max="5" width="22.5" style="1140" customWidth="1"/>
    <col min="6" max="6" width="23.16015625" style="1140" customWidth="1"/>
    <col min="7" max="7" width="21.5" style="1140" customWidth="1"/>
    <col min="8" max="8" width="37" style="773" customWidth="1"/>
    <col min="9" max="9" width="5.16015625" style="776" hidden="1" customWidth="1"/>
    <col min="10" max="10" width="11.16015625" style="773" customWidth="1"/>
    <col min="11" max="16384" width="12.83203125" style="773" customWidth="1"/>
  </cols>
  <sheetData>
    <row r="1" spans="2:9" ht="62.25" customHeight="1">
      <c r="B1" s="1133"/>
      <c r="C1" s="1133"/>
      <c r="D1" s="1133"/>
      <c r="E1" s="1133"/>
      <c r="F1" s="1133"/>
      <c r="G1" s="1133"/>
      <c r="H1" s="716" t="s">
        <v>438</v>
      </c>
      <c r="I1" s="715"/>
    </row>
    <row r="2" spans="1:9" ht="26.25" customHeight="1" thickBot="1">
      <c r="A2" s="1134"/>
      <c r="B2" s="1135"/>
      <c r="C2" s="1135"/>
      <c r="D2" s="708" t="str">
        <f>'t1'!A1</f>
        <v>COMPARTO REGIONI ED AUTONOMIE LOCALI</v>
      </c>
      <c r="E2" s="1135"/>
      <c r="F2" s="1135"/>
      <c r="G2" s="1135"/>
      <c r="H2" s="717"/>
      <c r="I2" s="715"/>
    </row>
    <row r="3" spans="2:9" ht="15">
      <c r="B3" s="703"/>
      <c r="C3" s="703"/>
      <c r="D3" s="703"/>
      <c r="E3" s="703"/>
      <c r="F3" s="703"/>
      <c r="G3" s="703"/>
      <c r="H3" s="718"/>
      <c r="I3" s="715"/>
    </row>
    <row r="4" spans="2:9" ht="15">
      <c r="B4" s="699"/>
      <c r="C4" s="698"/>
      <c r="D4" s="699"/>
      <c r="E4" s="699"/>
      <c r="F4" s="719" t="s">
        <v>71</v>
      </c>
      <c r="G4" s="699"/>
      <c r="H4" s="718"/>
      <c r="I4" s="715"/>
    </row>
    <row r="5" spans="2:9" ht="15">
      <c r="B5" s="699"/>
      <c r="C5" s="698"/>
      <c r="D5" s="699"/>
      <c r="E5" s="699"/>
      <c r="F5" s="726"/>
      <c r="G5" s="699"/>
      <c r="H5" s="718"/>
      <c r="I5" s="715"/>
    </row>
    <row r="6" spans="1:9" ht="17.25" customHeight="1">
      <c r="A6" s="1132" t="s">
        <v>338</v>
      </c>
      <c r="B6" s="704" t="s">
        <v>456</v>
      </c>
      <c r="C6" s="1136"/>
      <c r="D6" s="1133"/>
      <c r="E6" s="1133"/>
      <c r="F6" s="724"/>
      <c r="G6" s="1133"/>
      <c r="H6" s="718"/>
      <c r="I6" s="715"/>
    </row>
    <row r="7" spans="2:9" ht="17.25" customHeight="1">
      <c r="B7" s="699"/>
      <c r="C7" s="698"/>
      <c r="D7" s="699"/>
      <c r="E7" s="699"/>
      <c r="F7" s="699"/>
      <c r="G7" s="699"/>
      <c r="H7" s="718"/>
      <c r="I7" s="715"/>
    </row>
    <row r="8" spans="1:9" ht="15" customHeight="1">
      <c r="A8" s="1132" t="s">
        <v>339</v>
      </c>
      <c r="B8" s="736" t="s">
        <v>457</v>
      </c>
      <c r="C8" s="698"/>
      <c r="D8" s="699"/>
      <c r="E8" s="699"/>
      <c r="F8" s="724"/>
      <c r="G8" s="699"/>
      <c r="H8" s="718"/>
      <c r="I8" s="715"/>
    </row>
    <row r="9" spans="2:9" ht="15" customHeight="1">
      <c r="B9" s="737"/>
      <c r="C9" s="698"/>
      <c r="D9" s="699"/>
      <c r="E9" s="699"/>
      <c r="F9" s="699"/>
      <c r="G9" s="699"/>
      <c r="H9" s="718"/>
      <c r="I9" s="715"/>
    </row>
    <row r="10" spans="2:9" ht="17.25" customHeight="1">
      <c r="B10" s="699"/>
      <c r="C10" s="698"/>
      <c r="D10" s="699"/>
      <c r="E10" s="699"/>
      <c r="F10" s="719" t="s">
        <v>298</v>
      </c>
      <c r="G10" s="719" t="s">
        <v>299</v>
      </c>
      <c r="H10" s="718"/>
      <c r="I10" s="715"/>
    </row>
    <row r="11" spans="1:14" ht="20.25" customHeight="1">
      <c r="A11" s="1132" t="s">
        <v>347</v>
      </c>
      <c r="B11" s="706" t="s">
        <v>455</v>
      </c>
      <c r="C11" s="698"/>
      <c r="D11" s="699"/>
      <c r="E11" s="699"/>
      <c r="F11" s="654"/>
      <c r="G11" s="654"/>
      <c r="H11" s="1137" t="str">
        <f>IF(I11=0,"RISPOSTA OBBLIGATORIA","")</f>
        <v>RISPOSTA OBBLIGATORIA</v>
      </c>
      <c r="I11" s="715">
        <v>0</v>
      </c>
      <c r="N11" s="775"/>
    </row>
    <row r="12" spans="2:9" ht="15" customHeight="1">
      <c r="B12" s="699"/>
      <c r="C12" s="699"/>
      <c r="D12" s="699"/>
      <c r="E12" s="699"/>
      <c r="F12" s="699"/>
      <c r="G12" s="699"/>
      <c r="H12" s="721"/>
      <c r="I12" s="715"/>
    </row>
    <row r="13" spans="2:9" ht="15" customHeight="1">
      <c r="B13" s="1308" t="s">
        <v>702</v>
      </c>
      <c r="C13" s="1309"/>
      <c r="D13" s="1310"/>
      <c r="E13" s="724"/>
      <c r="F13" s="1319" t="str">
        <f>IF(E13:E22=0,"RISPOSTA OBBLIGATORIA","")</f>
        <v>RISPOSTA OBBLIGATORIA</v>
      </c>
      <c r="G13" s="1320"/>
      <c r="H13" s="1321"/>
      <c r="I13" s="715"/>
    </row>
    <row r="14" spans="2:9" ht="15" customHeight="1">
      <c r="B14" s="1309"/>
      <c r="C14" s="1309"/>
      <c r="D14" s="1310"/>
      <c r="E14" s="739"/>
      <c r="F14" s="1322"/>
      <c r="G14" s="1323"/>
      <c r="H14" s="1324"/>
      <c r="I14" s="590"/>
    </row>
    <row r="15" spans="1:9" ht="15" customHeight="1">
      <c r="A15" s="740"/>
      <c r="B15" s="1309"/>
      <c r="C15" s="1309"/>
      <c r="D15" s="1310"/>
      <c r="E15" s="739"/>
      <c r="F15" s="1322"/>
      <c r="G15" s="1323"/>
      <c r="H15" s="1324"/>
      <c r="I15" s="590"/>
    </row>
    <row r="16" spans="1:9" ht="15" customHeight="1">
      <c r="A16" s="740"/>
      <c r="B16" s="1309"/>
      <c r="C16" s="1309"/>
      <c r="D16" s="1310"/>
      <c r="E16" s="739"/>
      <c r="F16" s="1322"/>
      <c r="G16" s="1323"/>
      <c r="H16" s="1324"/>
      <c r="I16" s="590"/>
    </row>
    <row r="17" spans="1:9" ht="15" customHeight="1">
      <c r="A17" s="740"/>
      <c r="B17" s="1309"/>
      <c r="C17" s="1309"/>
      <c r="D17" s="1310"/>
      <c r="E17" s="739"/>
      <c r="F17" s="1322"/>
      <c r="G17" s="1323"/>
      <c r="H17" s="1324"/>
      <c r="I17" s="590"/>
    </row>
    <row r="18" spans="1:9" ht="15" customHeight="1">
      <c r="A18" s="740"/>
      <c r="B18" s="1309"/>
      <c r="C18" s="1309"/>
      <c r="D18" s="1310"/>
      <c r="E18" s="739"/>
      <c r="F18" s="1322"/>
      <c r="G18" s="1323"/>
      <c r="H18" s="1324"/>
      <c r="I18" s="590"/>
    </row>
    <row r="19" spans="1:9" ht="15" customHeight="1">
      <c r="A19" s="740"/>
      <c r="B19" s="1309"/>
      <c r="C19" s="1309"/>
      <c r="D19" s="1310"/>
      <c r="E19" s="739"/>
      <c r="F19" s="1322"/>
      <c r="G19" s="1323"/>
      <c r="H19" s="1324"/>
      <c r="I19" s="590"/>
    </row>
    <row r="20" spans="1:10" s="774" customFormat="1" ht="15" customHeight="1">
      <c r="A20" s="740"/>
      <c r="B20" s="1309"/>
      <c r="C20" s="1309"/>
      <c r="D20" s="1310"/>
      <c r="E20" s="739"/>
      <c r="F20" s="1322"/>
      <c r="G20" s="1323"/>
      <c r="H20" s="1324"/>
      <c r="I20" s="735"/>
      <c r="J20" s="773"/>
    </row>
    <row r="21" spans="1:9" ht="15" customHeight="1">
      <c r="A21" s="740"/>
      <c r="B21" s="1309"/>
      <c r="C21" s="1309"/>
      <c r="D21" s="1310"/>
      <c r="E21" s="739"/>
      <c r="F21" s="1322"/>
      <c r="G21" s="1323"/>
      <c r="H21" s="1324"/>
      <c r="I21" s="590"/>
    </row>
    <row r="22" spans="1:9" ht="15" customHeight="1">
      <c r="A22" s="740"/>
      <c r="B22" s="1309"/>
      <c r="C22" s="1309"/>
      <c r="D22" s="1310"/>
      <c r="E22" s="739"/>
      <c r="F22" s="1322"/>
      <c r="G22" s="1323"/>
      <c r="H22" s="1324"/>
      <c r="I22" s="590"/>
    </row>
    <row r="23" spans="1:9" ht="15" customHeight="1">
      <c r="A23" s="740"/>
      <c r="B23" s="740"/>
      <c r="C23" s="740"/>
      <c r="D23" s="740"/>
      <c r="E23" s="740"/>
      <c r="F23" s="740"/>
      <c r="G23" s="740"/>
      <c r="H23" s="738"/>
      <c r="I23" s="590"/>
    </row>
    <row r="24" spans="2:9" ht="15" customHeight="1">
      <c r="B24" s="1133"/>
      <c r="C24" s="1133"/>
      <c r="D24" s="1133"/>
      <c r="E24" s="1133"/>
      <c r="F24" s="719" t="s">
        <v>298</v>
      </c>
      <c r="G24" s="719" t="s">
        <v>299</v>
      </c>
      <c r="H24" s="718"/>
      <c r="I24" s="715"/>
    </row>
    <row r="25" spans="1:9" ht="20.25" customHeight="1" hidden="1">
      <c r="A25" s="691"/>
      <c r="B25" s="706"/>
      <c r="C25" s="699"/>
      <c r="D25" s="727"/>
      <c r="E25" s="727"/>
      <c r="F25" s="761"/>
      <c r="G25" s="761"/>
      <c r="H25" s="742"/>
      <c r="I25" s="715"/>
    </row>
    <row r="26" spans="2:9" ht="15" customHeight="1" hidden="1">
      <c r="B26" s="702"/>
      <c r="C26" s="702"/>
      <c r="D26" s="702"/>
      <c r="E26" s="702"/>
      <c r="F26" s="1141"/>
      <c r="G26" s="1141"/>
      <c r="H26" s="718"/>
      <c r="I26" s="715"/>
    </row>
    <row r="27" spans="2:14" ht="20.25" customHeight="1" hidden="1">
      <c r="B27" s="728"/>
      <c r="C27" s="702"/>
      <c r="D27" s="702"/>
      <c r="E27" s="702"/>
      <c r="F27" s="654"/>
      <c r="G27" s="654"/>
      <c r="H27" s="1137"/>
      <c r="I27" s="715"/>
      <c r="N27" s="775"/>
    </row>
    <row r="28" spans="2:9" ht="15" customHeight="1" hidden="1">
      <c r="B28" s="702"/>
      <c r="C28" s="702"/>
      <c r="D28" s="702"/>
      <c r="E28" s="702"/>
      <c r="F28" s="1133"/>
      <c r="G28" s="1133"/>
      <c r="H28" s="718"/>
      <c r="I28" s="715"/>
    </row>
    <row r="29" spans="1:14" ht="43.5" customHeight="1">
      <c r="A29" s="1132" t="s">
        <v>341</v>
      </c>
      <c r="B29" s="1292" t="s">
        <v>877</v>
      </c>
      <c r="C29" s="1301"/>
      <c r="D29" s="1301"/>
      <c r="E29" s="1301"/>
      <c r="F29" s="654"/>
      <c r="G29" s="654"/>
      <c r="H29" s="1137" t="str">
        <f>IF(I29=0,"RISPOSTA OBBLIGATORIA","")</f>
        <v>RISPOSTA OBBLIGATORIA</v>
      </c>
      <c r="I29" s="715">
        <v>0</v>
      </c>
      <c r="N29" s="775"/>
    </row>
    <row r="30" spans="2:9" ht="15" customHeight="1">
      <c r="B30" s="702"/>
      <c r="C30" s="702"/>
      <c r="D30" s="702"/>
      <c r="E30" s="702"/>
      <c r="F30" s="1133"/>
      <c r="G30" s="1133"/>
      <c r="H30" s="718"/>
      <c r="I30" s="715"/>
    </row>
    <row r="31" spans="1:14" ht="43.5" customHeight="1">
      <c r="A31" s="1132" t="s">
        <v>342</v>
      </c>
      <c r="B31" s="1290" t="s">
        <v>693</v>
      </c>
      <c r="C31" s="1291"/>
      <c r="D31" s="1291"/>
      <c r="E31" s="1291"/>
      <c r="F31" s="654"/>
      <c r="G31" s="654"/>
      <c r="H31" s="1137" t="str">
        <f>IF(I31=0,"RISPOSTA OBBLIGATORIA","")</f>
        <v>RISPOSTA OBBLIGATORIA</v>
      </c>
      <c r="I31" s="715">
        <v>0</v>
      </c>
      <c r="N31" s="775"/>
    </row>
    <row r="32" spans="2:9" ht="15" customHeight="1">
      <c r="B32" s="699"/>
      <c r="C32" s="702"/>
      <c r="D32" s="702"/>
      <c r="E32" s="702"/>
      <c r="F32" s="1133"/>
      <c r="G32" s="1133"/>
      <c r="H32" s="718"/>
      <c r="I32" s="715"/>
    </row>
    <row r="33" spans="1:14" ht="29.25" customHeight="1">
      <c r="A33" s="1132" t="s">
        <v>345</v>
      </c>
      <c r="B33" s="1290" t="s">
        <v>694</v>
      </c>
      <c r="C33" s="1291"/>
      <c r="D33" s="1291"/>
      <c r="E33" s="1291"/>
      <c r="F33" s="654"/>
      <c r="G33" s="654"/>
      <c r="H33" s="1137" t="str">
        <f>IF(I33=0,"RISPOSTA OBBLIGATORIA","")</f>
        <v>RISPOSTA OBBLIGATORIA</v>
      </c>
      <c r="I33" s="715">
        <v>0</v>
      </c>
      <c r="N33" s="775"/>
    </row>
    <row r="34" spans="2:9" ht="15" customHeight="1">
      <c r="B34" s="699"/>
      <c r="C34" s="702"/>
      <c r="D34" s="702"/>
      <c r="E34" s="702"/>
      <c r="F34" s="1133"/>
      <c r="G34" s="1133"/>
      <c r="H34" s="718"/>
      <c r="I34" s="715"/>
    </row>
    <row r="35" spans="2:14" ht="20.25" customHeight="1" hidden="1">
      <c r="B35" s="728"/>
      <c r="C35" s="702"/>
      <c r="D35" s="702"/>
      <c r="E35" s="702"/>
      <c r="F35" s="654"/>
      <c r="G35" s="654"/>
      <c r="H35" s="1137"/>
      <c r="I35" s="715"/>
      <c r="N35" s="775"/>
    </row>
    <row r="36" spans="2:9" ht="15" customHeight="1" hidden="1">
      <c r="B36" s="702"/>
      <c r="C36" s="706"/>
      <c r="D36" s="702"/>
      <c r="E36" s="702"/>
      <c r="F36" s="719"/>
      <c r="G36" s="1133"/>
      <c r="H36" s="718"/>
      <c r="I36" s="715"/>
    </row>
    <row r="37" spans="2:9" ht="15" customHeight="1" hidden="1">
      <c r="B37" s="702"/>
      <c r="C37" s="702"/>
      <c r="D37" s="699"/>
      <c r="E37" s="702"/>
      <c r="F37" s="724"/>
      <c r="G37" s="1294"/>
      <c r="H37" s="1325"/>
      <c r="I37" s="715"/>
    </row>
    <row r="38" spans="2:9" ht="15" customHeight="1" hidden="1">
      <c r="B38" s="702"/>
      <c r="C38" s="702"/>
      <c r="D38" s="699"/>
      <c r="E38" s="702"/>
      <c r="F38" s="724"/>
      <c r="G38" s="1326"/>
      <c r="H38" s="1325"/>
      <c r="I38" s="715"/>
    </row>
    <row r="39" spans="2:9" ht="15" customHeight="1" hidden="1">
      <c r="B39" s="702"/>
      <c r="C39" s="702"/>
      <c r="D39" s="699"/>
      <c r="E39" s="702"/>
      <c r="F39" s="724"/>
      <c r="G39" s="1326"/>
      <c r="H39" s="1325"/>
      <c r="I39" s="715"/>
    </row>
    <row r="40" spans="2:9" ht="15" customHeight="1" hidden="1">
      <c r="B40" s="702"/>
      <c r="C40" s="702"/>
      <c r="D40" s="699"/>
      <c r="E40" s="702"/>
      <c r="F40" s="724"/>
      <c r="G40" s="1326"/>
      <c r="H40" s="1325"/>
      <c r="I40" s="715"/>
    </row>
    <row r="41" spans="2:9" ht="15" customHeight="1" hidden="1">
      <c r="B41" s="702"/>
      <c r="C41" s="702"/>
      <c r="D41" s="702"/>
      <c r="E41" s="702"/>
      <c r="F41" s="1133"/>
      <c r="G41" s="1133"/>
      <c r="H41" s="718"/>
      <c r="I41" s="715"/>
    </row>
    <row r="42" spans="2:9" ht="15" customHeight="1" hidden="1">
      <c r="B42" s="702"/>
      <c r="C42" s="702"/>
      <c r="D42" s="702"/>
      <c r="E42" s="702"/>
      <c r="F42" s="719" t="s">
        <v>298</v>
      </c>
      <c r="G42" s="719" t="s">
        <v>299</v>
      </c>
      <c r="H42" s="718"/>
      <c r="I42" s="715"/>
    </row>
    <row r="43" spans="1:14" ht="30.75" customHeight="1">
      <c r="A43" s="1132" t="s">
        <v>349</v>
      </c>
      <c r="B43" s="1296" t="s">
        <v>696</v>
      </c>
      <c r="C43" s="1296"/>
      <c r="D43" s="1296"/>
      <c r="E43" s="1297"/>
      <c r="F43" s="654"/>
      <c r="G43" s="654"/>
      <c r="H43" s="1137" t="str">
        <f>IF(I43=0,"RISPOSTA OBBLIGATORIA","")</f>
        <v>RISPOSTA OBBLIGATORIA</v>
      </c>
      <c r="I43" s="715">
        <v>0</v>
      </c>
      <c r="N43" s="775"/>
    </row>
    <row r="44" spans="2:9" ht="15" customHeight="1">
      <c r="B44" s="702"/>
      <c r="C44" s="702"/>
      <c r="D44" s="702"/>
      <c r="E44" s="702"/>
      <c r="F44" s="1133"/>
      <c r="G44" s="1133"/>
      <c r="H44" s="718"/>
      <c r="I44" s="715"/>
    </row>
    <row r="45" spans="1:14" ht="20.25" customHeight="1">
      <c r="A45" s="1132" t="s">
        <v>439</v>
      </c>
      <c r="B45" s="728" t="s">
        <v>486</v>
      </c>
      <c r="C45" s="702"/>
      <c r="D45" s="702"/>
      <c r="E45" s="702"/>
      <c r="F45" s="654"/>
      <c r="G45" s="654"/>
      <c r="H45" s="1137" t="str">
        <f>IF(I45=0,"RISPOSTA OBBLIGATORIA","")</f>
        <v>RISPOSTA OBBLIGATORIA</v>
      </c>
      <c r="I45" s="715">
        <v>0</v>
      </c>
      <c r="N45" s="775"/>
    </row>
    <row r="46" spans="2:9" ht="15" customHeight="1">
      <c r="B46" s="702"/>
      <c r="C46" s="702"/>
      <c r="D46" s="702"/>
      <c r="E46" s="702"/>
      <c r="F46" s="1133"/>
      <c r="G46" s="1133"/>
      <c r="H46" s="718"/>
      <c r="I46" s="715"/>
    </row>
    <row r="47" spans="2:9" ht="15" customHeight="1">
      <c r="B47" s="702"/>
      <c r="C47" s="702"/>
      <c r="D47" s="702"/>
      <c r="E47" s="702"/>
      <c r="F47" s="719" t="s">
        <v>71</v>
      </c>
      <c r="G47" s="1133"/>
      <c r="H47" s="718"/>
      <c r="I47" s="715"/>
    </row>
    <row r="48" spans="1:9" ht="33" customHeight="1">
      <c r="A48" s="1132" t="s">
        <v>471</v>
      </c>
      <c r="B48" s="1300" t="s">
        <v>549</v>
      </c>
      <c r="C48" s="1301"/>
      <c r="D48" s="1301"/>
      <c r="E48" s="1302"/>
      <c r="F48" s="741"/>
      <c r="G48" s="1304" t="str">
        <f>IF(F48=0,"RISPOSTA OBBLIGATORIA","")</f>
        <v>RISPOSTA OBBLIGATORIA</v>
      </c>
      <c r="H48" s="1305"/>
      <c r="I48" s="715"/>
    </row>
    <row r="49" spans="2:9" ht="15" customHeight="1">
      <c r="B49" s="702"/>
      <c r="C49" s="702"/>
      <c r="D49" s="702"/>
      <c r="E49" s="702"/>
      <c r="F49" s="1133"/>
      <c r="G49" s="1133"/>
      <c r="H49" s="718"/>
      <c r="I49" s="715"/>
    </row>
    <row r="50" spans="2:9" ht="15" customHeight="1">
      <c r="B50" s="702"/>
      <c r="C50" s="702"/>
      <c r="D50" s="702"/>
      <c r="E50" s="702"/>
      <c r="F50" s="719" t="s">
        <v>70</v>
      </c>
      <c r="G50" s="1133"/>
      <c r="H50" s="718"/>
      <c r="I50" s="715"/>
    </row>
    <row r="51" spans="2:9" ht="15" customHeight="1" hidden="1">
      <c r="B51" s="704"/>
      <c r="C51" s="705"/>
      <c r="D51" s="702"/>
      <c r="E51" s="702"/>
      <c r="F51" s="724"/>
      <c r="G51" s="1133"/>
      <c r="H51" s="718"/>
      <c r="I51" s="715"/>
    </row>
    <row r="52" spans="2:9" ht="15" customHeight="1" hidden="1">
      <c r="B52" s="702"/>
      <c r="C52" s="702"/>
      <c r="D52" s="702"/>
      <c r="E52" s="702"/>
      <c r="F52" s="1133"/>
      <c r="G52" s="1133"/>
      <c r="H52" s="718"/>
      <c r="I52" s="715"/>
    </row>
    <row r="53" spans="2:9" ht="15" customHeight="1" hidden="1">
      <c r="B53" s="706"/>
      <c r="C53" s="702"/>
      <c r="D53" s="702"/>
      <c r="E53" s="702"/>
      <c r="F53" s="724"/>
      <c r="G53" s="1133"/>
      <c r="H53" s="718"/>
      <c r="I53" s="715"/>
    </row>
    <row r="54" spans="2:9" ht="15" customHeight="1" hidden="1">
      <c r="B54" s="702"/>
      <c r="C54" s="702"/>
      <c r="D54" s="702"/>
      <c r="E54" s="702"/>
      <c r="F54" s="1133"/>
      <c r="G54" s="1133"/>
      <c r="H54" s="718"/>
      <c r="I54" s="715"/>
    </row>
    <row r="55" spans="1:9" ht="28.5" customHeight="1">
      <c r="A55" s="1132" t="s">
        <v>474</v>
      </c>
      <c r="B55" s="1292" t="s">
        <v>699</v>
      </c>
      <c r="C55" s="1301"/>
      <c r="D55" s="1301"/>
      <c r="E55" s="1302"/>
      <c r="F55" s="724">
        <v>0</v>
      </c>
      <c r="G55" s="1304">
        <f>IF(F55="","RISPOSTA OBBLIGATORIA","")</f>
      </c>
      <c r="H55" s="1305"/>
      <c r="I55" s="715"/>
    </row>
    <row r="56" spans="2:9" ht="15" customHeight="1">
      <c r="B56" s="1133"/>
      <c r="C56" s="1133"/>
      <c r="D56" s="1133"/>
      <c r="E56" s="1133"/>
      <c r="F56" s="712"/>
      <c r="G56" s="1133"/>
      <c r="H56" s="718"/>
      <c r="I56" s="715"/>
    </row>
    <row r="57" spans="1:9" ht="15" customHeight="1">
      <c r="A57" s="691"/>
      <c r="B57" s="702"/>
      <c r="C57" s="702"/>
      <c r="D57" s="702"/>
      <c r="E57" s="702"/>
      <c r="F57" s="719" t="s">
        <v>298</v>
      </c>
      <c r="G57" s="719" t="s">
        <v>299</v>
      </c>
      <c r="H57" s="718"/>
      <c r="I57" s="777"/>
    </row>
    <row r="58" spans="1:8" ht="20.25" customHeight="1" hidden="1">
      <c r="A58" s="691"/>
      <c r="B58" s="706"/>
      <c r="C58" s="702"/>
      <c r="D58" s="702"/>
      <c r="E58" s="702"/>
      <c r="F58" s="654"/>
      <c r="G58" s="654"/>
      <c r="H58" s="742"/>
    </row>
    <row r="59" spans="1:8" ht="20.25" customHeight="1" hidden="1">
      <c r="A59" s="691"/>
      <c r="B59" s="706"/>
      <c r="C59" s="768"/>
      <c r="D59" s="768"/>
      <c r="E59" s="702"/>
      <c r="F59" s="712"/>
      <c r="G59" s="712"/>
      <c r="H59" s="742"/>
    </row>
    <row r="60" spans="1:8" ht="20.25" customHeight="1" hidden="1">
      <c r="A60" s="691"/>
      <c r="B60" s="702"/>
      <c r="C60" s="728"/>
      <c r="D60" s="702"/>
      <c r="E60" s="702"/>
      <c r="F60" s="654"/>
      <c r="G60" s="654"/>
      <c r="H60" s="733"/>
    </row>
    <row r="61" spans="1:8" ht="46.5" customHeight="1" hidden="1">
      <c r="A61" s="691"/>
      <c r="B61" s="767"/>
      <c r="C61" s="1292"/>
      <c r="D61" s="1292"/>
      <c r="E61" s="1292"/>
      <c r="F61" s="714"/>
      <c r="G61" s="714"/>
      <c r="H61" s="733"/>
    </row>
    <row r="62" spans="1:8" ht="18.75" customHeight="1" hidden="1">
      <c r="A62" s="691"/>
      <c r="B62" s="767"/>
      <c r="C62" s="1293"/>
      <c r="D62" s="1293"/>
      <c r="E62" s="765"/>
      <c r="F62" s="702"/>
      <c r="G62" s="459"/>
      <c r="H62" s="733"/>
    </row>
    <row r="63" spans="1:9" ht="31.5" customHeight="1">
      <c r="A63" s="1132" t="s">
        <v>632</v>
      </c>
      <c r="B63" s="1292" t="s">
        <v>576</v>
      </c>
      <c r="C63" s="1317"/>
      <c r="D63" s="1317"/>
      <c r="E63" s="1318"/>
      <c r="F63" s="1143"/>
      <c r="G63" s="1143"/>
      <c r="H63" s="733" t="str">
        <f>IF(I63=0,"RISPOSTA OBBLIGATORIA","")</f>
        <v>RISPOSTA OBBLIGATORIA</v>
      </c>
      <c r="I63" s="776">
        <v>0</v>
      </c>
    </row>
    <row r="64" spans="1:9" ht="15">
      <c r="A64" s="1138"/>
      <c r="B64" s="1139"/>
      <c r="C64" s="1139"/>
      <c r="D64" s="1139"/>
      <c r="E64" s="1139"/>
      <c r="F64" s="1139"/>
      <c r="G64" s="1139"/>
      <c r="H64" s="729"/>
      <c r="I64" s="776">
        <f>SUM(F6,F8,I11,I29,I31,I33,I43,I45,I63,SUM(F48,F55))</f>
        <v>0</v>
      </c>
    </row>
  </sheetData>
  <sheetProtection password="EA98" sheet="1" formatColumns="0" selectLockedCells="1"/>
  <mergeCells count="14">
    <mergeCell ref="B33:E33"/>
    <mergeCell ref="B48:E48"/>
    <mergeCell ref="B43:E43"/>
    <mergeCell ref="G55:H55"/>
    <mergeCell ref="C61:E61"/>
    <mergeCell ref="C62:D62"/>
    <mergeCell ref="B63:E63"/>
    <mergeCell ref="G37:H40"/>
    <mergeCell ref="G48:H48"/>
    <mergeCell ref="B13:D22"/>
    <mergeCell ref="F13:H22"/>
    <mergeCell ref="B55:E55"/>
    <mergeCell ref="B29:E29"/>
    <mergeCell ref="B31:E31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horizontalDpi="600" verticalDpi="600" orientation="portrait" paperSize="9" scale="6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zoomScale="75" zoomScaleNormal="75" zoomScalePageLayoutView="94" workbookViewId="0" topLeftCell="A1">
      <selection activeCell="G61" sqref="G61"/>
    </sheetView>
  </sheetViews>
  <sheetFormatPr defaultColWidth="0" defaultRowHeight="10.5" zeroHeight="1"/>
  <cols>
    <col min="1" max="1" width="7.66015625" style="797" customWidth="1"/>
    <col min="2" max="7" width="28.83203125" style="798" customWidth="1"/>
    <col min="8" max="8" width="6" style="1076" hidden="1" customWidth="1"/>
    <col min="9" max="9" width="10.33203125" style="848" hidden="1" customWidth="1"/>
    <col min="10" max="12" width="12.83203125" style="784" customWidth="1"/>
    <col min="13" max="242" width="12.83203125" style="784" hidden="1" customWidth="1"/>
    <col min="243" max="243" width="3.33203125" style="784" hidden="1" customWidth="1"/>
    <col min="244" max="244" width="1.3359375" style="784" hidden="1" customWidth="1"/>
    <col min="245" max="245" width="3.16015625" style="784" hidden="1" customWidth="1"/>
    <col min="246" max="246" width="1.66796875" style="784" hidden="1" customWidth="1"/>
    <col min="247" max="247" width="3.16015625" style="784" hidden="1" customWidth="1"/>
    <col min="248" max="248" width="3" style="784" hidden="1" customWidth="1"/>
    <col min="249" max="249" width="1.83203125" style="784" hidden="1" customWidth="1"/>
    <col min="250" max="250" width="2.16015625" style="784" hidden="1" customWidth="1"/>
    <col min="251" max="251" width="3.5" style="784" hidden="1" customWidth="1"/>
    <col min="252" max="252" width="5.33203125" style="784" hidden="1" customWidth="1"/>
    <col min="253" max="253" width="8.66015625" style="784" hidden="1" customWidth="1"/>
    <col min="254" max="255" width="2.5" style="784" hidden="1" customWidth="1"/>
    <col min="256" max="16384" width="6.16015625" style="784" hidden="1" customWidth="1"/>
  </cols>
  <sheetData>
    <row r="1" spans="1:8" ht="45" customHeight="1">
      <c r="A1" s="779"/>
      <c r="B1" s="780"/>
      <c r="C1" s="780"/>
      <c r="D1" s="781" t="s">
        <v>488</v>
      </c>
      <c r="E1" s="780"/>
      <c r="F1" s="780"/>
      <c r="G1" s="782"/>
      <c r="H1" s="1071" t="s">
        <v>438</v>
      </c>
    </row>
    <row r="2" spans="1:8" ht="23.25">
      <c r="A2" s="785"/>
      <c r="B2" s="786"/>
      <c r="C2" s="787" t="s">
        <v>489</v>
      </c>
      <c r="D2" s="786"/>
      <c r="E2" s="786"/>
      <c r="F2" s="786"/>
      <c r="G2" s="788"/>
      <c r="H2" s="1071"/>
    </row>
    <row r="3" spans="1:8" ht="41.25" customHeight="1">
      <c r="A3" s="785"/>
      <c r="B3" s="789" t="s">
        <v>490</v>
      </c>
      <c r="C3" s="790"/>
      <c r="D3" s="786"/>
      <c r="E3" s="786"/>
      <c r="F3" s="786"/>
      <c r="G3" s="788"/>
      <c r="H3" s="1071"/>
    </row>
    <row r="4" spans="1:9" s="796" customFormat="1" ht="45" customHeight="1">
      <c r="A4" s="791"/>
      <c r="B4" s="792" t="s">
        <v>491</v>
      </c>
      <c r="C4" s="793"/>
      <c r="D4" s="794"/>
      <c r="E4" s="794"/>
      <c r="F4" s="794"/>
      <c r="G4" s="795"/>
      <c r="H4" s="1072"/>
      <c r="I4" s="1073"/>
    </row>
    <row r="5" ht="16.5" customHeight="1">
      <c r="H5" s="1071"/>
    </row>
    <row r="6" spans="1:8" ht="20.25">
      <c r="A6" s="799"/>
      <c r="B6" s="800"/>
      <c r="C6" s="784"/>
      <c r="D6" s="784"/>
      <c r="E6" s="784"/>
      <c r="F6" s="784"/>
      <c r="H6" s="1071"/>
    </row>
    <row r="7" spans="1:9" s="803" customFormat="1" ht="20.25">
      <c r="A7" s="797"/>
      <c r="B7" s="801"/>
      <c r="C7" s="802" t="str">
        <f>'t1'!A1</f>
        <v>COMPARTO REGIONI ED AUTONOMIE LOCALI</v>
      </c>
      <c r="E7" s="804"/>
      <c r="F7" s="805"/>
      <c r="G7" s="801"/>
      <c r="H7" s="1074"/>
      <c r="I7" s="1075"/>
    </row>
    <row r="8" spans="1:9" s="803" customFormat="1" ht="19.5" customHeight="1">
      <c r="A8" s="797"/>
      <c r="B8" s="801"/>
      <c r="C8" s="801"/>
      <c r="D8" s="806"/>
      <c r="F8" s="801"/>
      <c r="G8" s="801"/>
      <c r="H8" s="1074"/>
      <c r="I8" s="1075"/>
    </row>
    <row r="9" spans="1:9" s="803" customFormat="1" ht="30.75" customHeight="1">
      <c r="A9" s="807"/>
      <c r="B9" s="801"/>
      <c r="C9" s="808" t="s">
        <v>303</v>
      </c>
      <c r="D9" s="808"/>
      <c r="E9" s="809" t="s">
        <v>492</v>
      </c>
      <c r="F9" s="810" t="s">
        <v>112</v>
      </c>
      <c r="G9" s="801"/>
      <c r="H9" s="1074"/>
      <c r="I9" s="1075"/>
    </row>
    <row r="10" spans="1:9" s="803" customFormat="1" ht="30.75" customHeight="1">
      <c r="A10" s="807"/>
      <c r="B10" s="801"/>
      <c r="C10" s="801"/>
      <c r="D10" s="811"/>
      <c r="E10" s="804"/>
      <c r="F10" s="804"/>
      <c r="G10" s="801"/>
      <c r="H10" s="1074"/>
      <c r="I10" s="1075"/>
    </row>
    <row r="11" spans="1:7" ht="15">
      <c r="A11" s="807"/>
      <c r="B11" s="812" t="s">
        <v>493</v>
      </c>
      <c r="C11" s="813"/>
      <c r="D11" s="813"/>
      <c r="E11" s="813"/>
      <c r="F11" s="813"/>
      <c r="G11" s="813"/>
    </row>
    <row r="12" spans="1:7" ht="18" customHeight="1">
      <c r="A12" s="814"/>
      <c r="B12" s="815"/>
      <c r="C12" s="816"/>
      <c r="D12" s="816"/>
      <c r="E12" s="817" t="s">
        <v>443</v>
      </c>
      <c r="F12" s="818" t="s">
        <v>444</v>
      </c>
      <c r="G12" s="819" t="s">
        <v>445</v>
      </c>
    </row>
    <row r="13" spans="1:9" s="822" customFormat="1" ht="30" customHeight="1">
      <c r="A13" s="820"/>
      <c r="B13" s="1356" t="s">
        <v>850</v>
      </c>
      <c r="C13" s="1356"/>
      <c r="D13" s="1357"/>
      <c r="E13" s="1209">
        <v>23</v>
      </c>
      <c r="F13" s="1209">
        <v>11</v>
      </c>
      <c r="G13" s="1209">
        <v>2001</v>
      </c>
      <c r="H13" s="1077"/>
      <c r="I13" s="1078"/>
    </row>
    <row r="14" spans="1:9" s="822" customFormat="1" ht="9" customHeight="1">
      <c r="A14" s="820"/>
      <c r="B14" s="823"/>
      <c r="C14" s="823"/>
      <c r="D14" s="823"/>
      <c r="E14" s="823"/>
      <c r="F14" s="823"/>
      <c r="G14" s="824"/>
      <c r="H14" s="1077"/>
      <c r="I14" s="1078"/>
    </row>
    <row r="15" spans="1:9" s="822" customFormat="1" ht="30" customHeight="1">
      <c r="A15" s="820"/>
      <c r="B15" s="1337" t="s">
        <v>851</v>
      </c>
      <c r="C15" s="1337"/>
      <c r="D15" s="1338"/>
      <c r="E15" s="859"/>
      <c r="F15" s="859"/>
      <c r="G15" s="859"/>
      <c r="H15" s="1077"/>
      <c r="I15" s="1078"/>
    </row>
    <row r="16" spans="1:9" s="822" customFormat="1" ht="9" customHeight="1">
      <c r="A16" s="820"/>
      <c r="B16" s="826"/>
      <c r="C16" s="825"/>
      <c r="D16" s="825"/>
      <c r="E16" s="823"/>
      <c r="F16" s="823"/>
      <c r="G16" s="824"/>
      <c r="H16" s="1077"/>
      <c r="I16" s="1078"/>
    </row>
    <row r="17" spans="1:9" s="822" customFormat="1" ht="30" customHeight="1">
      <c r="A17" s="820"/>
      <c r="B17" s="1337" t="s">
        <v>852</v>
      </c>
      <c r="C17" s="1337"/>
      <c r="D17" s="1338"/>
      <c r="E17" s="859"/>
      <c r="F17" s="859"/>
      <c r="G17" s="859"/>
      <c r="H17" s="1077"/>
      <c r="I17" s="1078"/>
    </row>
    <row r="18" spans="1:9" s="822" customFormat="1" ht="9" customHeight="1">
      <c r="A18" s="820"/>
      <c r="B18" s="826"/>
      <c r="C18" s="825"/>
      <c r="D18" s="825"/>
      <c r="E18" s="823"/>
      <c r="F18" s="823"/>
      <c r="G18" s="824"/>
      <c r="H18" s="1077"/>
      <c r="I18" s="1078"/>
    </row>
    <row r="19" spans="1:7" ht="18" customHeight="1">
      <c r="A19" s="820"/>
      <c r="B19" s="828"/>
      <c r="C19" s="828"/>
      <c r="D19" s="826"/>
      <c r="E19" s="828"/>
      <c r="F19" s="829"/>
      <c r="G19" s="830" t="s">
        <v>305</v>
      </c>
    </row>
    <row r="20" spans="1:9" s="822" customFormat="1" ht="30" customHeight="1">
      <c r="A20" s="833">
        <v>1</v>
      </c>
      <c r="B20" s="1337" t="s">
        <v>853</v>
      </c>
      <c r="C20" s="1337"/>
      <c r="D20" s="1337"/>
      <c r="E20" s="1337"/>
      <c r="F20" s="1338"/>
      <c r="G20" s="897"/>
      <c r="H20" s="1077"/>
      <c r="I20" s="1078"/>
    </row>
    <row r="21" spans="1:9" s="822" customFormat="1" ht="9" customHeight="1">
      <c r="A21" s="833"/>
      <c r="B21" s="825"/>
      <c r="C21" s="825"/>
      <c r="D21" s="825"/>
      <c r="E21" s="825"/>
      <c r="F21" s="831"/>
      <c r="G21" s="834"/>
      <c r="H21" s="1077"/>
      <c r="I21" s="1078"/>
    </row>
    <row r="22" spans="1:9" s="822" customFormat="1" ht="30" customHeight="1">
      <c r="A22" s="833">
        <v>2</v>
      </c>
      <c r="B22" s="1337" t="s">
        <v>854</v>
      </c>
      <c r="C22" s="1337"/>
      <c r="D22" s="1337"/>
      <c r="E22" s="1337"/>
      <c r="F22" s="1338"/>
      <c r="G22" s="897"/>
      <c r="H22" s="1077"/>
      <c r="I22" s="1078"/>
    </row>
    <row r="23" spans="1:9" s="822" customFormat="1" ht="9" customHeight="1">
      <c r="A23" s="820"/>
      <c r="B23" s="825"/>
      <c r="C23" s="825"/>
      <c r="D23" s="825"/>
      <c r="E23" s="825"/>
      <c r="F23" s="831"/>
      <c r="G23" s="834"/>
      <c r="H23" s="1077"/>
      <c r="I23" s="1078"/>
    </row>
    <row r="24" spans="1:9" s="822" customFormat="1" ht="30" customHeight="1">
      <c r="A24" s="833">
        <v>3</v>
      </c>
      <c r="B24" s="1358" t="s">
        <v>903</v>
      </c>
      <c r="C24" s="1358"/>
      <c r="D24" s="1358"/>
      <c r="E24" s="1358"/>
      <c r="F24" s="1359"/>
      <c r="G24" s="897"/>
      <c r="H24" s="1077"/>
      <c r="I24" s="1078"/>
    </row>
    <row r="25" spans="1:9" s="822" customFormat="1" ht="9" customHeight="1">
      <c r="A25" s="820"/>
      <c r="B25" s="1020"/>
      <c r="C25" s="1018"/>
      <c r="D25" s="1018"/>
      <c r="E25" s="1018"/>
      <c r="F25" s="1019"/>
      <c r="G25" s="824"/>
      <c r="H25" s="1077"/>
      <c r="I25" s="1078"/>
    </row>
    <row r="26" spans="1:9" s="822" customFormat="1" ht="30" customHeight="1">
      <c r="A26" s="833">
        <v>4</v>
      </c>
      <c r="B26" s="1358" t="s">
        <v>855</v>
      </c>
      <c r="C26" s="1358"/>
      <c r="D26" s="1358"/>
      <c r="E26" s="1358"/>
      <c r="F26" s="1359"/>
      <c r="G26" s="1210"/>
      <c r="H26" s="1077"/>
      <c r="I26" s="1078"/>
    </row>
    <row r="27" spans="1:9" s="822" customFormat="1" ht="9" customHeight="1">
      <c r="A27" s="820"/>
      <c r="B27" s="1020"/>
      <c r="C27" s="1021"/>
      <c r="D27" s="1021"/>
      <c r="E27" s="1021"/>
      <c r="F27" s="1021"/>
      <c r="G27" s="838"/>
      <c r="H27" s="1077"/>
      <c r="I27" s="1078"/>
    </row>
    <row r="28" spans="1:9" s="822" customFormat="1" ht="30" customHeight="1">
      <c r="A28" s="833">
        <v>5</v>
      </c>
      <c r="B28" s="828" t="s">
        <v>494</v>
      </c>
      <c r="C28" s="825"/>
      <c r="D28" s="825"/>
      <c r="E28" s="825"/>
      <c r="F28" s="836"/>
      <c r="G28" s="904"/>
      <c r="H28" s="1077"/>
      <c r="I28" s="1078"/>
    </row>
    <row r="29" spans="1:9" s="822" customFormat="1" ht="9" customHeight="1">
      <c r="A29" s="820"/>
      <c r="B29" s="825"/>
      <c r="C29" s="825"/>
      <c r="D29" s="825"/>
      <c r="E29" s="825"/>
      <c r="F29" s="835"/>
      <c r="G29" s="839"/>
      <c r="H29" s="1077"/>
      <c r="I29" s="1078"/>
    </row>
    <row r="30" spans="1:9" s="822" customFormat="1" ht="30" customHeight="1">
      <c r="A30" s="833">
        <v>6</v>
      </c>
      <c r="B30" s="828" t="s">
        <v>494</v>
      </c>
      <c r="C30" s="825"/>
      <c r="D30" s="825"/>
      <c r="E30" s="825"/>
      <c r="F30" s="835"/>
      <c r="G30" s="905"/>
      <c r="H30" s="1077"/>
      <c r="I30" s="1078"/>
    </row>
    <row r="31" spans="1:9" s="822" customFormat="1" ht="9" customHeight="1">
      <c r="A31" s="820"/>
      <c r="B31" s="825"/>
      <c r="C31" s="825"/>
      <c r="D31" s="825"/>
      <c r="E31" s="825"/>
      <c r="F31" s="835"/>
      <c r="G31" s="839"/>
      <c r="H31" s="1077"/>
      <c r="I31" s="1078"/>
    </row>
    <row r="32" spans="1:9" s="822" customFormat="1" ht="30" customHeight="1">
      <c r="A32" s="833">
        <v>7</v>
      </c>
      <c r="B32" s="828" t="s">
        <v>494</v>
      </c>
      <c r="C32" s="825"/>
      <c r="D32" s="825"/>
      <c r="E32" s="825"/>
      <c r="F32" s="835"/>
      <c r="G32" s="905"/>
      <c r="H32" s="1077"/>
      <c r="I32" s="1078"/>
    </row>
    <row r="33" spans="1:9" s="822" customFormat="1" ht="9" customHeight="1">
      <c r="A33" s="820"/>
      <c r="B33" s="825"/>
      <c r="C33" s="825"/>
      <c r="D33" s="825"/>
      <c r="E33" s="825"/>
      <c r="F33" s="835"/>
      <c r="G33" s="839"/>
      <c r="H33" s="1077"/>
      <c r="I33" s="1078"/>
    </row>
    <row r="34" spans="1:9" s="822" customFormat="1" ht="30" customHeight="1">
      <c r="A34" s="833">
        <v>8</v>
      </c>
      <c r="B34" s="828" t="s">
        <v>494</v>
      </c>
      <c r="C34" s="825"/>
      <c r="D34" s="825"/>
      <c r="E34" s="825"/>
      <c r="F34" s="835"/>
      <c r="G34" s="905"/>
      <c r="H34" s="1077"/>
      <c r="I34" s="1078"/>
    </row>
    <row r="35" spans="1:9" s="822" customFormat="1" ht="9" customHeight="1">
      <c r="A35" s="1052"/>
      <c r="B35" s="840"/>
      <c r="C35" s="840"/>
      <c r="D35" s="840"/>
      <c r="E35" s="840"/>
      <c r="F35" s="841"/>
      <c r="G35" s="842"/>
      <c r="H35" s="1077"/>
      <c r="I35" s="1078"/>
    </row>
    <row r="36" spans="1:9" s="822" customFormat="1" ht="18" customHeight="1">
      <c r="A36" s="837"/>
      <c r="B36" s="843"/>
      <c r="C36" s="843"/>
      <c r="D36" s="843"/>
      <c r="E36" s="843"/>
      <c r="F36" s="831"/>
      <c r="G36" s="831"/>
      <c r="H36" s="1077"/>
      <c r="I36" s="1078"/>
    </row>
    <row r="37" spans="2:7" ht="18" customHeight="1">
      <c r="B37" s="812" t="s">
        <v>553</v>
      </c>
      <c r="C37" s="813"/>
      <c r="D37" s="813"/>
      <c r="E37" s="813"/>
      <c r="F37" s="813"/>
      <c r="G37" s="813"/>
    </row>
    <row r="38" spans="1:7" ht="18" customHeight="1">
      <c r="A38" s="814"/>
      <c r="B38" s="1014"/>
      <c r="C38" s="1015"/>
      <c r="D38" s="1015"/>
      <c r="E38" s="1015"/>
      <c r="F38" s="1015"/>
      <c r="G38" s="830" t="s">
        <v>305</v>
      </c>
    </row>
    <row r="39" spans="1:7" ht="30" customHeight="1">
      <c r="A39" s="833">
        <v>9</v>
      </c>
      <c r="B39" s="828" t="s">
        <v>494</v>
      </c>
      <c r="C39" s="862"/>
      <c r="D39" s="862"/>
      <c r="E39" s="862"/>
      <c r="F39" s="862"/>
      <c r="G39" s="905"/>
    </row>
    <row r="40" spans="1:7" ht="9" customHeight="1">
      <c r="A40" s="833"/>
      <c r="B40" s="1017"/>
      <c r="C40" s="862"/>
      <c r="D40" s="862"/>
      <c r="E40" s="862"/>
      <c r="F40" s="862"/>
      <c r="G40" s="839"/>
    </row>
    <row r="41" spans="1:7" ht="30" customHeight="1">
      <c r="A41" s="833">
        <v>10</v>
      </c>
      <c r="B41" s="828" t="s">
        <v>494</v>
      </c>
      <c r="C41" s="862"/>
      <c r="D41" s="862"/>
      <c r="E41" s="862"/>
      <c r="F41" s="862"/>
      <c r="G41" s="905"/>
    </row>
    <row r="42" spans="1:7" ht="9" customHeight="1">
      <c r="A42" s="833"/>
      <c r="B42" s="1017"/>
      <c r="C42" s="862"/>
      <c r="D42" s="862"/>
      <c r="E42" s="862"/>
      <c r="F42" s="862"/>
      <c r="G42" s="839"/>
    </row>
    <row r="43" spans="1:7" ht="30" customHeight="1">
      <c r="A43" s="833">
        <v>11</v>
      </c>
      <c r="B43" s="828" t="s">
        <v>494</v>
      </c>
      <c r="C43" s="862"/>
      <c r="D43" s="862"/>
      <c r="E43" s="862"/>
      <c r="F43" s="862"/>
      <c r="G43" s="905"/>
    </row>
    <row r="44" spans="1:7" ht="9" customHeight="1">
      <c r="A44" s="833"/>
      <c r="B44" s="1017"/>
      <c r="C44" s="862"/>
      <c r="D44" s="862"/>
      <c r="E44" s="862"/>
      <c r="F44" s="862"/>
      <c r="G44" s="839"/>
    </row>
    <row r="45" spans="1:7" ht="30" customHeight="1">
      <c r="A45" s="833">
        <v>12</v>
      </c>
      <c r="B45" s="828" t="s">
        <v>494</v>
      </c>
      <c r="C45" s="862"/>
      <c r="D45" s="862"/>
      <c r="E45" s="862"/>
      <c r="F45" s="862"/>
      <c r="G45" s="905"/>
    </row>
    <row r="46" spans="1:7" ht="9" customHeight="1">
      <c r="A46" s="833"/>
      <c r="B46" s="1017"/>
      <c r="C46" s="862"/>
      <c r="D46" s="862"/>
      <c r="E46" s="862"/>
      <c r="F46" s="862"/>
      <c r="G46" s="1016"/>
    </row>
    <row r="47" spans="1:7" ht="18" customHeight="1">
      <c r="A47" s="833"/>
      <c r="B47" s="860"/>
      <c r="C47" s="860"/>
      <c r="D47" s="861"/>
      <c r="E47" s="861"/>
      <c r="F47" s="845" t="s">
        <v>298</v>
      </c>
      <c r="G47" s="846" t="s">
        <v>299</v>
      </c>
    </row>
    <row r="48" spans="1:9" ht="30" customHeight="1">
      <c r="A48" s="833">
        <v>13</v>
      </c>
      <c r="B48" s="828" t="s">
        <v>304</v>
      </c>
      <c r="C48" s="835"/>
      <c r="D48" s="835"/>
      <c r="E48" s="821"/>
      <c r="F48" s="847"/>
      <c r="G48" s="847"/>
      <c r="H48" s="1076">
        <v>2</v>
      </c>
      <c r="I48" s="848" t="str">
        <f>IF(H48=1,"VERO",IF(H48=2,"FALSO",""))</f>
        <v>FALSO</v>
      </c>
    </row>
    <row r="49" spans="1:7" ht="9" customHeight="1">
      <c r="A49" s="820"/>
      <c r="B49" s="849"/>
      <c r="C49" s="850"/>
      <c r="D49" s="821"/>
      <c r="E49" s="821"/>
      <c r="F49" s="821"/>
      <c r="G49" s="851"/>
    </row>
    <row r="50" spans="1:7" ht="30" customHeight="1">
      <c r="A50" s="833">
        <v>14</v>
      </c>
      <c r="B50" s="828" t="s">
        <v>494</v>
      </c>
      <c r="C50" s="835"/>
      <c r="D50" s="835"/>
      <c r="E50" s="835"/>
      <c r="F50" s="1211"/>
      <c r="G50" s="1211"/>
    </row>
    <row r="51" spans="1:7" ht="9" customHeight="1">
      <c r="A51" s="820"/>
      <c r="B51" s="826"/>
      <c r="C51" s="835"/>
      <c r="D51" s="835"/>
      <c r="E51" s="835"/>
      <c r="F51" s="831"/>
      <c r="G51" s="834"/>
    </row>
    <row r="52" spans="1:7" ht="30" customHeight="1">
      <c r="A52" s="833">
        <v>15</v>
      </c>
      <c r="B52" s="828" t="s">
        <v>494</v>
      </c>
      <c r="C52" s="852"/>
      <c r="D52" s="852"/>
      <c r="E52" s="852"/>
      <c r="F52" s="1211"/>
      <c r="G52" s="1211"/>
    </row>
    <row r="53" spans="1:7" ht="9" customHeight="1">
      <c r="A53" s="820"/>
      <c r="B53" s="826"/>
      <c r="C53" s="852"/>
      <c r="D53" s="852"/>
      <c r="E53" s="852"/>
      <c r="F53" s="853"/>
      <c r="G53" s="854"/>
    </row>
    <row r="54" spans="1:7" ht="30" customHeight="1">
      <c r="A54" s="833">
        <v>16</v>
      </c>
      <c r="B54" s="828" t="s">
        <v>494</v>
      </c>
      <c r="C54" s="852"/>
      <c r="D54" s="852"/>
      <c r="E54" s="852"/>
      <c r="F54" s="1212"/>
      <c r="G54" s="1212"/>
    </row>
    <row r="55" spans="1:7" ht="9" customHeight="1">
      <c r="A55" s="820"/>
      <c r="B55" s="855"/>
      <c r="C55" s="852"/>
      <c r="D55" s="852"/>
      <c r="E55" s="852"/>
      <c r="F55" s="831"/>
      <c r="G55" s="834"/>
    </row>
    <row r="56" spans="1:7" ht="30" customHeight="1">
      <c r="A56" s="833">
        <v>17</v>
      </c>
      <c r="B56" s="1360" t="s">
        <v>869</v>
      </c>
      <c r="C56" s="1360"/>
      <c r="D56" s="1360"/>
      <c r="E56" s="1361"/>
      <c r="F56" s="845" t="s">
        <v>495</v>
      </c>
      <c r="G56" s="846" t="s">
        <v>496</v>
      </c>
    </row>
    <row r="57" spans="1:7" ht="30" customHeight="1">
      <c r="A57" s="833"/>
      <c r="B57" s="1023"/>
      <c r="C57" s="1024"/>
      <c r="D57" s="1022"/>
      <c r="E57" s="1025"/>
      <c r="F57" s="859">
        <v>2</v>
      </c>
      <c r="G57" s="859">
        <v>44491.87</v>
      </c>
    </row>
    <row r="58" spans="1:7" ht="9" customHeight="1">
      <c r="A58" s="833"/>
      <c r="B58" s="861"/>
      <c r="C58" s="861"/>
      <c r="D58" s="861"/>
      <c r="E58" s="861"/>
      <c r="F58" s="823"/>
      <c r="G58" s="824"/>
    </row>
    <row r="59" spans="1:9" s="822" customFormat="1" ht="30" customHeight="1">
      <c r="A59" s="833"/>
      <c r="B59" s="1337"/>
      <c r="C59" s="1337"/>
      <c r="D59" s="1337"/>
      <c r="E59" s="861"/>
      <c r="F59" s="859">
        <v>9</v>
      </c>
      <c r="G59" s="859">
        <v>29661.26</v>
      </c>
      <c r="H59" s="1077"/>
      <c r="I59" s="1078"/>
    </row>
    <row r="60" spans="1:9" s="822" customFormat="1" ht="9" customHeight="1">
      <c r="A60" s="833"/>
      <c r="B60" s="856"/>
      <c r="C60" s="860"/>
      <c r="D60" s="861"/>
      <c r="E60" s="855"/>
      <c r="F60" s="862"/>
      <c r="G60" s="864"/>
      <c r="H60" s="1077"/>
      <c r="I60" s="1078"/>
    </row>
    <row r="61" spans="1:9" s="822" customFormat="1" ht="30" customHeight="1">
      <c r="A61" s="833"/>
      <c r="B61" s="856"/>
      <c r="C61" s="860"/>
      <c r="D61" s="861"/>
      <c r="E61" s="855"/>
      <c r="F61" s="859"/>
      <c r="G61" s="859"/>
      <c r="H61" s="1077"/>
      <c r="I61" s="1078"/>
    </row>
    <row r="62" spans="1:9" s="822" customFormat="1" ht="9" customHeight="1">
      <c r="A62" s="833"/>
      <c r="B62" s="856"/>
      <c r="C62" s="860"/>
      <c r="D62" s="861"/>
      <c r="E62" s="861"/>
      <c r="F62" s="862"/>
      <c r="G62" s="863"/>
      <c r="H62" s="1077"/>
      <c r="I62" s="1078"/>
    </row>
    <row r="63" spans="1:9" s="822" customFormat="1" ht="30" customHeight="1">
      <c r="A63" s="865"/>
      <c r="B63" s="866"/>
      <c r="C63" s="867"/>
      <c r="D63" s="868"/>
      <c r="E63" s="868"/>
      <c r="F63" s="859"/>
      <c r="G63" s="859"/>
      <c r="H63" s="1077"/>
      <c r="I63" s="1078"/>
    </row>
    <row r="64" spans="1:9" s="822" customFormat="1" ht="18" customHeight="1">
      <c r="A64" s="807"/>
      <c r="B64" s="855"/>
      <c r="C64" s="860"/>
      <c r="D64" s="861"/>
      <c r="E64" s="861"/>
      <c r="F64" s="829"/>
      <c r="G64" s="829"/>
      <c r="H64" s="1077"/>
      <c r="I64" s="1078"/>
    </row>
    <row r="65" spans="1:9" s="822" customFormat="1" ht="18" customHeight="1">
      <c r="A65" s="797"/>
      <c r="B65" s="869" t="s">
        <v>856</v>
      </c>
      <c r="C65" s="870"/>
      <c r="D65" s="798"/>
      <c r="E65" s="798"/>
      <c r="F65" s="813"/>
      <c r="G65" s="813"/>
      <c r="H65" s="1077"/>
      <c r="I65" s="1078"/>
    </row>
    <row r="66" spans="1:9" s="822" customFormat="1" ht="18" customHeight="1">
      <c r="A66" s="814"/>
      <c r="B66" s="844"/>
      <c r="C66" s="844"/>
      <c r="D66" s="816"/>
      <c r="E66" s="816"/>
      <c r="F66" s="845" t="s">
        <v>298</v>
      </c>
      <c r="G66" s="846" t="s">
        <v>299</v>
      </c>
      <c r="H66" s="1077"/>
      <c r="I66" s="1078"/>
    </row>
    <row r="67" spans="1:9" s="872" customFormat="1" ht="30" customHeight="1">
      <c r="A67" s="833">
        <v>18</v>
      </c>
      <c r="B67" s="1337" t="s">
        <v>870</v>
      </c>
      <c r="C67" s="1337"/>
      <c r="D67" s="1337"/>
      <c r="E67" s="1338"/>
      <c r="F67" s="847"/>
      <c r="G67" s="847"/>
      <c r="H67" s="1222">
        <v>1</v>
      </c>
      <c r="I67" s="848" t="str">
        <f>IF(H67=1,"VERO",IF(H67=2,"FALSO",""))</f>
        <v>VERO</v>
      </c>
    </row>
    <row r="68" spans="1:9" s="872" customFormat="1" ht="9" customHeight="1">
      <c r="A68" s="820"/>
      <c r="B68" s="826"/>
      <c r="C68" s="828"/>
      <c r="D68" s="828"/>
      <c r="E68" s="835"/>
      <c r="F68" s="831"/>
      <c r="G68" s="834"/>
      <c r="H68" s="1222"/>
      <c r="I68" s="1223"/>
    </row>
    <row r="69" spans="1:12" s="872" customFormat="1" ht="30" customHeight="1">
      <c r="A69" s="833">
        <v>19</v>
      </c>
      <c r="B69" s="1337" t="s">
        <v>871</v>
      </c>
      <c r="C69" s="1337"/>
      <c r="D69" s="1337"/>
      <c r="E69" s="1338"/>
      <c r="F69" s="1164"/>
      <c r="G69" s="1164"/>
      <c r="H69" s="1222">
        <v>0</v>
      </c>
      <c r="I69" s="848">
        <f>IF(H69=1,"VERO",IF(H69=2,"FALSO",""))</f>
      </c>
      <c r="J69" s="1336">
        <f>IF((G76+G78+G80)&gt;0,"Grado di differenziazione dei premi di risultato regolati dall'accordo annuale sul fondo 2009 (le percentuali vanno calcolate con riferimento al totale dei dipendenti dell'Area / Categoria / Fascia al 31/12 dell'anno precedente):","")</f>
      </c>
      <c r="K69" s="1336"/>
      <c r="L69" s="1336"/>
    </row>
    <row r="70" spans="1:12" s="874" customFormat="1" ht="9" customHeight="1">
      <c r="A70" s="833"/>
      <c r="B70" s="825"/>
      <c r="C70" s="825"/>
      <c r="D70" s="825"/>
      <c r="E70" s="828"/>
      <c r="F70" s="829"/>
      <c r="G70" s="873"/>
      <c r="H70" s="1083"/>
      <c r="I70" s="1084"/>
      <c r="J70" s="1336"/>
      <c r="K70" s="1336"/>
      <c r="L70" s="1336"/>
    </row>
    <row r="71" spans="1:12" s="874" customFormat="1" ht="30" customHeight="1">
      <c r="A71" s="833">
        <v>20</v>
      </c>
      <c r="B71" s="1337" t="s">
        <v>872</v>
      </c>
      <c r="C71" s="1337"/>
      <c r="D71" s="1337"/>
      <c r="E71" s="1338"/>
      <c r="F71" s="1164"/>
      <c r="G71" s="1164"/>
      <c r="H71" s="1083">
        <v>1</v>
      </c>
      <c r="I71" s="848" t="str">
        <f>IF(H71=1,"VERO",IF(H71=2,"FALSO",""))</f>
        <v>VERO</v>
      </c>
      <c r="J71" s="1336"/>
      <c r="K71" s="1336"/>
      <c r="L71" s="1336"/>
    </row>
    <row r="72" spans="1:12" s="874" customFormat="1" ht="9" customHeight="1">
      <c r="A72" s="833"/>
      <c r="B72" s="825"/>
      <c r="C72" s="825"/>
      <c r="D72" s="825"/>
      <c r="E72" s="828"/>
      <c r="F72" s="829"/>
      <c r="G72" s="873"/>
      <c r="H72" s="1083"/>
      <c r="I72" s="1084"/>
      <c r="J72" s="1336"/>
      <c r="K72" s="1336"/>
      <c r="L72" s="1336"/>
    </row>
    <row r="73" spans="1:12" s="874" customFormat="1" ht="30" customHeight="1">
      <c r="A73" s="833">
        <v>21</v>
      </c>
      <c r="B73" s="1337" t="s">
        <v>873</v>
      </c>
      <c r="C73" s="1337"/>
      <c r="D73" s="1337"/>
      <c r="E73" s="1338"/>
      <c r="F73" s="1164"/>
      <c r="G73" s="1164"/>
      <c r="H73" s="1083">
        <v>0</v>
      </c>
      <c r="I73" s="848">
        <f>IF(H73=1,"VERO",IF(H73=2,"FALSO",""))</f>
      </c>
      <c r="J73" s="1336"/>
      <c r="K73" s="1336"/>
      <c r="L73" s="1336"/>
    </row>
    <row r="74" spans="1:12" s="874" customFormat="1" ht="9" customHeight="1">
      <c r="A74" s="833"/>
      <c r="B74" s="825"/>
      <c r="C74" s="825"/>
      <c r="D74" s="825"/>
      <c r="E74" s="828"/>
      <c r="F74" s="829"/>
      <c r="G74" s="873"/>
      <c r="H74" s="1081"/>
      <c r="I74" s="1082"/>
      <c r="J74" s="1336"/>
      <c r="K74" s="1336"/>
      <c r="L74" s="1336"/>
    </row>
    <row r="75" spans="1:12" s="874" customFormat="1" ht="18" customHeight="1">
      <c r="A75" s="820"/>
      <c r="B75" s="828"/>
      <c r="C75" s="828"/>
      <c r="D75" s="826"/>
      <c r="E75" s="825"/>
      <c r="F75" s="829"/>
      <c r="G75" s="830" t="s">
        <v>305</v>
      </c>
      <c r="H75" s="1081"/>
      <c r="I75" s="1082"/>
      <c r="J75" s="1336"/>
      <c r="K75" s="1336"/>
      <c r="L75" s="1336"/>
    </row>
    <row r="76" spans="1:12" s="874" customFormat="1" ht="30" customHeight="1">
      <c r="A76" s="833">
        <v>22</v>
      </c>
      <c r="B76" s="1337" t="s">
        <v>905</v>
      </c>
      <c r="C76" s="1337"/>
      <c r="D76" s="1337"/>
      <c r="E76" s="1337"/>
      <c r="F76" s="1338"/>
      <c r="G76" s="897"/>
      <c r="H76" s="1081"/>
      <c r="I76" s="1082"/>
      <c r="J76" s="1203">
        <f>IF((G76+G78+G80)&gt;0,"==&gt; ","")</f>
      </c>
      <c r="K76" s="1203">
        <f>IF((G76+G78+G80)&gt;0,(ROUND(G76/(G76+G78+G80)*100,2)&amp;"%"),"")</f>
      </c>
      <c r="L76" s="1204"/>
    </row>
    <row r="77" spans="1:12" s="874" customFormat="1" ht="9" customHeight="1">
      <c r="A77" s="820"/>
      <c r="B77" s="825"/>
      <c r="C77" s="825"/>
      <c r="D77" s="825"/>
      <c r="E77" s="825"/>
      <c r="F77" s="875"/>
      <c r="G77" s="834"/>
      <c r="H77" s="1081"/>
      <c r="I77" s="1082"/>
      <c r="J77" s="1204"/>
      <c r="K77" s="1204"/>
      <c r="L77" s="1204"/>
    </row>
    <row r="78" spans="1:12" s="874" customFormat="1" ht="30" customHeight="1">
      <c r="A78" s="833">
        <v>23</v>
      </c>
      <c r="B78" s="1337" t="s">
        <v>902</v>
      </c>
      <c r="C78" s="1337"/>
      <c r="D78" s="1337"/>
      <c r="E78" s="1337"/>
      <c r="F78" s="1338"/>
      <c r="G78" s="897"/>
      <c r="H78" s="1081"/>
      <c r="I78" s="848"/>
      <c r="J78" s="1203">
        <f>IF((G76+G78+G80)&gt;0,"==&gt; ","")</f>
      </c>
      <c r="K78" s="1203">
        <f>IF((G76+G78+G80)&gt;0,(ROUND(G78/(G76+G78+G80)*100,2)&amp;"%"),"")</f>
      </c>
      <c r="L78" s="1204"/>
    </row>
    <row r="79" spans="1:12" s="855" customFormat="1" ht="9" customHeight="1">
      <c r="A79" s="820"/>
      <c r="B79" s="825"/>
      <c r="C79" s="825"/>
      <c r="D79" s="825"/>
      <c r="E79" s="825"/>
      <c r="F79" s="875"/>
      <c r="G79" s="824"/>
      <c r="H79" s="1083"/>
      <c r="I79" s="1084"/>
      <c r="J79" s="1204"/>
      <c r="K79" s="1204"/>
      <c r="L79" s="1204"/>
    </row>
    <row r="80" spans="1:12" s="855" customFormat="1" ht="30" customHeight="1">
      <c r="A80" s="833">
        <v>24</v>
      </c>
      <c r="B80" s="1337" t="s">
        <v>857</v>
      </c>
      <c r="C80" s="1337"/>
      <c r="D80" s="1337"/>
      <c r="E80" s="1337"/>
      <c r="F80" s="1338"/>
      <c r="G80" s="897"/>
      <c r="H80" s="1083"/>
      <c r="I80" s="848"/>
      <c r="J80" s="1203">
        <f>IF((G76+G78+G80)&gt;0,"==&gt; ","")</f>
      </c>
      <c r="K80" s="1203">
        <f>IF((G76+G78+G80)&gt;0,(ROUND(G80/(G76+G78+G80)*100,2)&amp;"%"),"")</f>
      </c>
      <c r="L80" s="1204"/>
    </row>
    <row r="81" spans="1:12" s="855" customFormat="1" ht="9" customHeight="1">
      <c r="A81" s="820"/>
      <c r="B81" s="825"/>
      <c r="C81" s="825"/>
      <c r="D81" s="825"/>
      <c r="E81" s="825"/>
      <c r="F81" s="831"/>
      <c r="G81" s="834"/>
      <c r="H81" s="1083"/>
      <c r="I81" s="1084"/>
      <c r="J81" s="1202"/>
      <c r="K81" s="1202"/>
      <c r="L81" s="1202"/>
    </row>
    <row r="82" spans="1:9" s="855" customFormat="1" ht="30" customHeight="1">
      <c r="A82" s="833">
        <v>25</v>
      </c>
      <c r="B82" s="828" t="s">
        <v>300</v>
      </c>
      <c r="C82" s="825"/>
      <c r="D82" s="825"/>
      <c r="E82" s="825"/>
      <c r="F82" s="836"/>
      <c r="G82" s="1212"/>
      <c r="H82" s="1083"/>
      <c r="I82" s="1083"/>
    </row>
    <row r="83" spans="1:9" s="855" customFormat="1" ht="9" customHeight="1">
      <c r="A83" s="820"/>
      <c r="B83" s="825"/>
      <c r="C83" s="825"/>
      <c r="D83" s="825"/>
      <c r="E83" s="825"/>
      <c r="F83" s="835"/>
      <c r="G83" s="838"/>
      <c r="H83" s="1083"/>
      <c r="I83" s="1083"/>
    </row>
    <row r="84" spans="1:9" s="855" customFormat="1" ht="30" customHeight="1">
      <c r="A84" s="833">
        <v>26</v>
      </c>
      <c r="B84" s="828" t="s">
        <v>300</v>
      </c>
      <c r="C84" s="825"/>
      <c r="D84" s="825"/>
      <c r="E84" s="825"/>
      <c r="F84" s="835"/>
      <c r="G84" s="1212"/>
      <c r="H84" s="1083"/>
      <c r="I84" s="1083"/>
    </row>
    <row r="85" spans="1:9" s="855" customFormat="1" ht="9" customHeight="1">
      <c r="A85" s="820"/>
      <c r="B85" s="825"/>
      <c r="C85" s="825"/>
      <c r="D85" s="825"/>
      <c r="E85" s="825"/>
      <c r="F85" s="835"/>
      <c r="G85" s="842"/>
      <c r="H85" s="1083"/>
      <c r="I85" s="1083"/>
    </row>
    <row r="86" spans="1:9" s="855" customFormat="1" ht="30" customHeight="1">
      <c r="A86" s="833">
        <v>27</v>
      </c>
      <c r="B86" s="828" t="s">
        <v>300</v>
      </c>
      <c r="C86" s="825"/>
      <c r="D86" s="825"/>
      <c r="E86" s="825"/>
      <c r="F86" s="835"/>
      <c r="G86" s="1212"/>
      <c r="H86" s="1083"/>
      <c r="I86" s="1083"/>
    </row>
    <row r="87" spans="1:9" s="855" customFormat="1" ht="9" customHeight="1">
      <c r="A87" s="1052"/>
      <c r="B87" s="840"/>
      <c r="C87" s="840"/>
      <c r="D87" s="840"/>
      <c r="E87" s="840"/>
      <c r="F87" s="841"/>
      <c r="G87" s="877"/>
      <c r="H87" s="1085"/>
      <c r="I87" s="1084"/>
    </row>
    <row r="88" spans="1:9" s="855" customFormat="1" ht="18" customHeight="1" hidden="1">
      <c r="A88" s="820"/>
      <c r="B88" s="825"/>
      <c r="C88" s="825"/>
      <c r="D88" s="825"/>
      <c r="E88" s="825"/>
      <c r="F88" s="835"/>
      <c r="G88" s="1059"/>
      <c r="H88" s="1086"/>
      <c r="I88" s="1084"/>
    </row>
    <row r="89" spans="1:7" ht="18" customHeight="1" hidden="1">
      <c r="A89" s="814"/>
      <c r="B89" s="1014" t="s">
        <v>508</v>
      </c>
      <c r="C89" s="844"/>
      <c r="D89" s="816"/>
      <c r="E89" s="816"/>
      <c r="F89" s="1055"/>
      <c r="G89" s="1056"/>
    </row>
    <row r="90" spans="1:9" s="936" customFormat="1" ht="18" customHeight="1" hidden="1">
      <c r="A90" s="814"/>
      <c r="B90" s="844"/>
      <c r="C90" s="844"/>
      <c r="D90" s="816"/>
      <c r="E90" s="816"/>
      <c r="F90" s="845" t="s">
        <v>298</v>
      </c>
      <c r="G90" s="846" t="s">
        <v>299</v>
      </c>
      <c r="H90" s="1087"/>
      <c r="I90" s="1087"/>
    </row>
    <row r="91" spans="1:9" s="936" customFormat="1" ht="19.5" customHeight="1" hidden="1">
      <c r="A91" s="820">
        <v>51</v>
      </c>
      <c r="B91" s="825" t="s">
        <v>509</v>
      </c>
      <c r="C91" s="835"/>
      <c r="D91" s="835"/>
      <c r="E91" s="821"/>
      <c r="F91" s="847"/>
      <c r="G91" s="847"/>
      <c r="H91" s="1087">
        <v>0</v>
      </c>
      <c r="I91" s="848">
        <f>IF(H91=1,"VERO",IF(H91=2,"FALSO",""))</f>
      </c>
    </row>
    <row r="92" spans="1:9" s="936" customFormat="1" ht="18" customHeight="1" hidden="1">
      <c r="A92" s="820"/>
      <c r="B92" s="934" t="s">
        <v>510</v>
      </c>
      <c r="C92" s="850"/>
      <c r="D92" s="821"/>
      <c r="E92" s="821"/>
      <c r="F92" s="821"/>
      <c r="G92" s="851"/>
      <c r="H92" s="1087"/>
      <c r="I92" s="1087"/>
    </row>
    <row r="93" spans="1:9" s="936" customFormat="1" ht="18" customHeight="1" hidden="1">
      <c r="A93" s="820">
        <v>52</v>
      </c>
      <c r="B93" s="934" t="s">
        <v>494</v>
      </c>
      <c r="C93" s="850"/>
      <c r="D93" s="821"/>
      <c r="E93" s="821"/>
      <c r="F93" s="827"/>
      <c r="G93" s="827"/>
      <c r="H93" s="1087"/>
      <c r="I93" s="1087"/>
    </row>
    <row r="94" spans="1:9" s="936" customFormat="1" ht="18" customHeight="1" hidden="1">
      <c r="A94" s="820"/>
      <c r="B94" s="934"/>
      <c r="C94" s="850"/>
      <c r="D94" s="821"/>
      <c r="E94" s="821"/>
      <c r="F94" s="821"/>
      <c r="G94" s="851"/>
      <c r="H94" s="1087"/>
      <c r="I94" s="1087"/>
    </row>
    <row r="95" spans="1:9" s="936" customFormat="1" ht="18" customHeight="1" hidden="1">
      <c r="A95" s="820">
        <v>53</v>
      </c>
      <c r="B95" s="934" t="s">
        <v>494</v>
      </c>
      <c r="C95" s="850"/>
      <c r="D95" s="821"/>
      <c r="E95" s="821"/>
      <c r="F95" s="827"/>
      <c r="G95" s="827"/>
      <c r="H95" s="1087"/>
      <c r="I95" s="1087"/>
    </row>
    <row r="96" spans="1:9" s="936" customFormat="1" ht="18" customHeight="1" hidden="1">
      <c r="A96" s="820"/>
      <c r="B96" s="934"/>
      <c r="C96" s="850"/>
      <c r="D96" s="821"/>
      <c r="E96" s="821"/>
      <c r="F96" s="821"/>
      <c r="G96" s="851"/>
      <c r="H96" s="1087"/>
      <c r="I96" s="1087"/>
    </row>
    <row r="97" spans="1:9" s="936" customFormat="1" ht="18" customHeight="1" hidden="1">
      <c r="A97" s="937">
        <v>54</v>
      </c>
      <c r="B97" s="938" t="s">
        <v>541</v>
      </c>
      <c r="C97" s="939"/>
      <c r="D97" s="940"/>
      <c r="E97" s="940"/>
      <c r="F97" s="940"/>
      <c r="G97" s="830" t="s">
        <v>305</v>
      </c>
      <c r="H97" s="1087"/>
      <c r="I97" s="1087"/>
    </row>
    <row r="98" spans="1:9" s="936" customFormat="1" ht="18" customHeight="1" hidden="1">
      <c r="A98" s="941"/>
      <c r="B98" s="940"/>
      <c r="C98" s="942"/>
      <c r="D98" s="940"/>
      <c r="E98" s="940">
        <v>55</v>
      </c>
      <c r="F98" s="942" t="s">
        <v>511</v>
      </c>
      <c r="G98" s="943"/>
      <c r="H98" s="1087"/>
      <c r="I98" s="1087"/>
    </row>
    <row r="99" spans="1:9" s="936" customFormat="1" ht="18" customHeight="1" hidden="1">
      <c r="A99" s="941"/>
      <c r="B99" s="940"/>
      <c r="C99" s="944"/>
      <c r="D99" s="940"/>
      <c r="E99" s="940">
        <v>56</v>
      </c>
      <c r="F99" s="945" t="s">
        <v>512</v>
      </c>
      <c r="G99" s="943"/>
      <c r="H99" s="1087"/>
      <c r="I99" s="1087"/>
    </row>
    <row r="100" spans="1:9" s="936" customFormat="1" ht="18" customHeight="1" hidden="1">
      <c r="A100" s="941"/>
      <c r="B100" s="940"/>
      <c r="C100" s="944"/>
      <c r="D100" s="940"/>
      <c r="E100" s="940">
        <v>57</v>
      </c>
      <c r="F100" s="944" t="s">
        <v>513</v>
      </c>
      <c r="G100" s="943"/>
      <c r="H100" s="1087"/>
      <c r="I100" s="1087"/>
    </row>
    <row r="101" spans="1:9" s="946" customFormat="1" ht="18" customHeight="1" hidden="1">
      <c r="A101" s="941"/>
      <c r="B101" s="940"/>
      <c r="C101" s="944"/>
      <c r="D101" s="940"/>
      <c r="E101" s="940">
        <v>58</v>
      </c>
      <c r="F101" s="944" t="s">
        <v>514</v>
      </c>
      <c r="G101" s="943"/>
      <c r="H101" s="1088"/>
      <c r="I101" s="1088"/>
    </row>
    <row r="102" spans="1:9" s="936" customFormat="1" ht="18" customHeight="1" hidden="1">
      <c r="A102" s="941"/>
      <c r="B102" s="940"/>
      <c r="C102" s="942"/>
      <c r="D102" s="940"/>
      <c r="E102" s="940">
        <v>59</v>
      </c>
      <c r="F102" s="942" t="s">
        <v>515</v>
      </c>
      <c r="G102" s="943"/>
      <c r="H102" s="1089"/>
      <c r="I102" s="1087"/>
    </row>
    <row r="103" spans="1:12" s="936" customFormat="1" ht="18" customHeight="1" hidden="1">
      <c r="A103" s="941"/>
      <c r="B103" s="940"/>
      <c r="C103" s="947"/>
      <c r="D103" s="940"/>
      <c r="E103" s="940">
        <v>60</v>
      </c>
      <c r="F103" s="944" t="s">
        <v>516</v>
      </c>
      <c r="G103" s="943"/>
      <c r="H103" s="1087"/>
      <c r="I103" s="1087"/>
      <c r="K103" s="1064"/>
      <c r="L103" s="1064"/>
    </row>
    <row r="104" spans="1:12" s="936" customFormat="1" ht="18" customHeight="1" hidden="1">
      <c r="A104" s="941"/>
      <c r="B104" s="1327" t="s">
        <v>517</v>
      </c>
      <c r="C104" s="1328"/>
      <c r="D104" s="1328"/>
      <c r="E104" s="1328"/>
      <c r="F104" s="1329"/>
      <c r="G104" s="948">
        <f>SUM(G98:G103)</f>
        <v>0</v>
      </c>
      <c r="H104" s="1090"/>
      <c r="I104" s="1091"/>
      <c r="J104" s="1332" t="str">
        <f>IF(SUM(G98:G103)&lt;&gt;100,"&lt;&lt; ATTENZIONE: LA PERCENTUALE DEVE ESSERE UGUALE AL 100%","")</f>
        <v>&lt;&lt; ATTENZIONE: LA PERCENTUALE DEVE ESSERE UGUALE AL 100%</v>
      </c>
      <c r="K104" s="1332"/>
      <c r="L104" s="1333"/>
    </row>
    <row r="105" spans="1:12" s="936" customFormat="1" ht="18" customHeight="1" hidden="1">
      <c r="A105" s="949"/>
      <c r="B105" s="940"/>
      <c r="C105" s="940"/>
      <c r="D105" s="940"/>
      <c r="E105" s="940"/>
      <c r="F105" s="940"/>
      <c r="G105" s="950"/>
      <c r="H105" s="1092"/>
      <c r="I105" s="1091"/>
      <c r="J105" s="1332"/>
      <c r="K105" s="1332"/>
      <c r="L105" s="1333"/>
    </row>
    <row r="106" spans="1:9" s="936" customFormat="1" ht="18" customHeight="1" hidden="1">
      <c r="A106" s="951">
        <v>61</v>
      </c>
      <c r="B106" s="945" t="s">
        <v>518</v>
      </c>
      <c r="C106" s="945"/>
      <c r="D106" s="945"/>
      <c r="E106" s="945"/>
      <c r="F106" s="952"/>
      <c r="G106" s="953"/>
      <c r="H106" s="1093"/>
      <c r="I106" s="1087"/>
    </row>
    <row r="107" spans="1:9" s="936" customFormat="1" ht="18" customHeight="1" hidden="1">
      <c r="A107" s="951"/>
      <c r="B107" s="954"/>
      <c r="C107" s="954"/>
      <c r="D107" s="954"/>
      <c r="E107" s="954"/>
      <c r="F107" s="954"/>
      <c r="G107" s="955"/>
      <c r="H107" s="1093"/>
      <c r="I107" s="1087"/>
    </row>
    <row r="108" spans="1:9" s="936" customFormat="1" ht="18" customHeight="1" hidden="1">
      <c r="A108" s="956">
        <v>62</v>
      </c>
      <c r="B108" s="938" t="s">
        <v>519</v>
      </c>
      <c r="C108" s="939"/>
      <c r="D108" s="939"/>
      <c r="E108" s="940">
        <v>63</v>
      </c>
      <c r="F108" s="957" t="s">
        <v>520</v>
      </c>
      <c r="G108" s="955"/>
      <c r="H108" s="1094"/>
      <c r="I108" s="1087"/>
    </row>
    <row r="109" spans="1:9" s="936" customFormat="1" ht="18" customHeight="1" hidden="1">
      <c r="A109" s="941"/>
      <c r="B109" s="940"/>
      <c r="C109" s="942"/>
      <c r="D109" s="958"/>
      <c r="E109" s="940">
        <v>64</v>
      </c>
      <c r="F109" s="942" t="s">
        <v>544</v>
      </c>
      <c r="G109" s="953"/>
      <c r="H109" s="1094"/>
      <c r="I109" s="1087"/>
    </row>
    <row r="110" spans="1:9" s="936" customFormat="1" ht="18" customHeight="1" hidden="1">
      <c r="A110" s="941"/>
      <c r="B110" s="940"/>
      <c r="C110" s="944"/>
      <c r="D110" s="940"/>
      <c r="E110" s="940">
        <v>65</v>
      </c>
      <c r="F110" s="945" t="s">
        <v>521</v>
      </c>
      <c r="G110" s="943"/>
      <c r="H110" s="1094"/>
      <c r="I110" s="1087"/>
    </row>
    <row r="111" spans="1:9" s="936" customFormat="1" ht="18" customHeight="1" hidden="1">
      <c r="A111" s="941"/>
      <c r="B111" s="942"/>
      <c r="C111" s="942"/>
      <c r="D111" s="942"/>
      <c r="E111" s="959"/>
      <c r="F111" s="960"/>
      <c r="G111" s="955"/>
      <c r="H111" s="1087"/>
      <c r="I111" s="1087"/>
    </row>
    <row r="112" spans="1:9" s="936" customFormat="1" ht="18" customHeight="1" hidden="1">
      <c r="A112" s="949"/>
      <c r="B112" s="961"/>
      <c r="C112" s="947"/>
      <c r="D112" s="940"/>
      <c r="E112" s="940">
        <v>66</v>
      </c>
      <c r="F112" s="957" t="s">
        <v>522</v>
      </c>
      <c r="G112" s="955"/>
      <c r="H112" s="1087"/>
      <c r="I112" s="1087"/>
    </row>
    <row r="113" spans="1:9" s="936" customFormat="1" ht="18" customHeight="1" hidden="1">
      <c r="A113" s="941"/>
      <c r="B113" s="940"/>
      <c r="C113" s="942"/>
      <c r="D113" s="958"/>
      <c r="E113" s="940">
        <v>67</v>
      </c>
      <c r="F113" s="942" t="s">
        <v>544</v>
      </c>
      <c r="G113" s="953"/>
      <c r="H113" s="1087"/>
      <c r="I113" s="1087"/>
    </row>
    <row r="114" spans="1:9" s="936" customFormat="1" ht="18" customHeight="1" hidden="1">
      <c r="A114" s="941"/>
      <c r="B114" s="940"/>
      <c r="C114" s="944"/>
      <c r="D114" s="940"/>
      <c r="E114" s="939">
        <v>68</v>
      </c>
      <c r="F114" s="945" t="s">
        <v>521</v>
      </c>
      <c r="G114" s="943"/>
      <c r="H114" s="1087"/>
      <c r="I114" s="1087"/>
    </row>
    <row r="115" spans="1:9" s="936" customFormat="1" ht="18" customHeight="1" hidden="1">
      <c r="A115" s="941"/>
      <c r="B115" s="942"/>
      <c r="C115" s="942"/>
      <c r="D115" s="942"/>
      <c r="E115" s="959"/>
      <c r="F115" s="960"/>
      <c r="G115" s="955"/>
      <c r="H115" s="1087"/>
      <c r="I115" s="1087"/>
    </row>
    <row r="116" spans="1:9" s="936" customFormat="1" ht="18" customHeight="1" hidden="1">
      <c r="A116" s="949"/>
      <c r="B116" s="961"/>
      <c r="C116" s="947"/>
      <c r="D116" s="940"/>
      <c r="E116" s="940">
        <v>69</v>
      </c>
      <c r="F116" s="957" t="s">
        <v>523</v>
      </c>
      <c r="G116" s="955"/>
      <c r="H116" s="1087"/>
      <c r="I116" s="1087"/>
    </row>
    <row r="117" spans="1:9" s="936" customFormat="1" ht="18" customHeight="1" hidden="1">
      <c r="A117" s="941"/>
      <c r="B117" s="940"/>
      <c r="C117" s="942"/>
      <c r="D117" s="958"/>
      <c r="E117" s="940">
        <v>70</v>
      </c>
      <c r="F117" s="942" t="s">
        <v>544</v>
      </c>
      <c r="G117" s="953"/>
      <c r="H117" s="1087"/>
      <c r="I117" s="1087"/>
    </row>
    <row r="118" spans="1:9" s="936" customFormat="1" ht="18" customHeight="1" hidden="1">
      <c r="A118" s="941"/>
      <c r="B118" s="940"/>
      <c r="C118" s="944"/>
      <c r="D118" s="940"/>
      <c r="E118" s="939">
        <v>71</v>
      </c>
      <c r="F118" s="945" t="s">
        <v>521</v>
      </c>
      <c r="G118" s="943"/>
      <c r="H118" s="1087"/>
      <c r="I118" s="1087"/>
    </row>
    <row r="119" spans="1:9" s="936" customFormat="1" ht="18" customHeight="1" hidden="1">
      <c r="A119" s="941"/>
      <c r="B119" s="940"/>
      <c r="C119" s="944"/>
      <c r="D119" s="940"/>
      <c r="E119" s="940"/>
      <c r="F119" s="945"/>
      <c r="G119" s="963"/>
      <c r="H119" s="1087"/>
      <c r="I119" s="1087"/>
    </row>
    <row r="120" spans="1:9" s="936" customFormat="1" ht="18" customHeight="1" hidden="1">
      <c r="A120" s="949"/>
      <c r="B120" s="961"/>
      <c r="C120" s="947"/>
      <c r="D120" s="940"/>
      <c r="E120" s="962">
        <v>72</v>
      </c>
      <c r="F120" s="957" t="s">
        <v>524</v>
      </c>
      <c r="G120" s="955"/>
      <c r="H120" s="1087"/>
      <c r="I120" s="1087"/>
    </row>
    <row r="121" spans="1:7" ht="18" customHeight="1" hidden="1">
      <c r="A121" s="941"/>
      <c r="B121" s="940"/>
      <c r="C121" s="942"/>
      <c r="D121" s="958"/>
      <c r="E121" s="940">
        <v>73</v>
      </c>
      <c r="F121" s="942" t="s">
        <v>544</v>
      </c>
      <c r="G121" s="953"/>
    </row>
    <row r="122" spans="1:7" ht="18" customHeight="1" hidden="1">
      <c r="A122" s="941"/>
      <c r="B122" s="940"/>
      <c r="C122" s="942"/>
      <c r="D122" s="958"/>
      <c r="E122" s="940">
        <v>74</v>
      </c>
      <c r="F122" s="945" t="s">
        <v>521</v>
      </c>
      <c r="G122" s="943"/>
    </row>
    <row r="123" spans="1:7" ht="18" customHeight="1" hidden="1">
      <c r="A123" s="941"/>
      <c r="B123" s="940"/>
      <c r="C123" s="942"/>
      <c r="D123" s="958"/>
      <c r="E123" s="940"/>
      <c r="F123" s="945"/>
      <c r="G123" s="964"/>
    </row>
    <row r="124" spans="1:7" ht="18" customHeight="1" hidden="1">
      <c r="A124" s="941"/>
      <c r="B124" s="940"/>
      <c r="C124" s="942"/>
      <c r="D124" s="958"/>
      <c r="E124" s="940">
        <v>75</v>
      </c>
      <c r="F124" s="945"/>
      <c r="G124" s="965"/>
    </row>
    <row r="125" spans="1:7" ht="18" customHeight="1" hidden="1">
      <c r="A125" s="941"/>
      <c r="B125" s="940"/>
      <c r="C125" s="942"/>
      <c r="D125" s="958"/>
      <c r="E125" s="940">
        <v>76</v>
      </c>
      <c r="F125" s="945" t="s">
        <v>494</v>
      </c>
      <c r="G125" s="966"/>
    </row>
    <row r="126" spans="1:7" ht="18" customHeight="1" hidden="1">
      <c r="A126" s="941"/>
      <c r="B126" s="940"/>
      <c r="C126" s="942"/>
      <c r="D126" s="958"/>
      <c r="E126" s="940">
        <v>77</v>
      </c>
      <c r="F126" s="945" t="s">
        <v>494</v>
      </c>
      <c r="G126" s="967"/>
    </row>
    <row r="127" spans="1:7" ht="18" customHeight="1" hidden="1">
      <c r="A127" s="941"/>
      <c r="B127" s="940"/>
      <c r="C127" s="942"/>
      <c r="D127" s="958"/>
      <c r="E127" s="940"/>
      <c r="F127" s="945"/>
      <c r="G127" s="964"/>
    </row>
    <row r="128" spans="1:7" ht="18" customHeight="1" hidden="1">
      <c r="A128" s="941"/>
      <c r="B128" s="940"/>
      <c r="C128" s="942"/>
      <c r="D128" s="958"/>
      <c r="E128" s="940">
        <v>78</v>
      </c>
      <c r="F128" s="945"/>
      <c r="G128" s="965"/>
    </row>
    <row r="129" spans="1:7" ht="18" customHeight="1" hidden="1">
      <c r="A129" s="941"/>
      <c r="B129" s="940"/>
      <c r="C129" s="942"/>
      <c r="D129" s="958"/>
      <c r="E129" s="940">
        <v>79</v>
      </c>
      <c r="F129" s="945" t="s">
        <v>494</v>
      </c>
      <c r="G129" s="966"/>
    </row>
    <row r="130" spans="1:7" ht="18" customHeight="1" hidden="1">
      <c r="A130" s="941"/>
      <c r="B130" s="940"/>
      <c r="C130" s="942"/>
      <c r="D130" s="958"/>
      <c r="E130" s="940">
        <v>80</v>
      </c>
      <c r="F130" s="945" t="s">
        <v>494</v>
      </c>
      <c r="G130" s="967"/>
    </row>
    <row r="131" spans="1:7" ht="18" customHeight="1" hidden="1">
      <c r="A131" s="1054"/>
      <c r="B131" s="855"/>
      <c r="C131" s="942"/>
      <c r="D131" s="958"/>
      <c r="E131" s="1330" t="s">
        <v>545</v>
      </c>
      <c r="F131" s="1331"/>
      <c r="G131" s="968">
        <f>SUM(G109,G113,G117,G121,G125,G129)</f>
        <v>0</v>
      </c>
    </row>
    <row r="132" spans="1:9" s="936" customFormat="1" ht="18" customHeight="1" hidden="1">
      <c r="A132" s="969"/>
      <c r="B132" s="970"/>
      <c r="C132" s="971"/>
      <c r="D132" s="972"/>
      <c r="E132" s="1340" t="s">
        <v>546</v>
      </c>
      <c r="F132" s="1341"/>
      <c r="G132" s="973">
        <f>SUM(G110,G114,G118,G122,G126,G130)</f>
        <v>0</v>
      </c>
      <c r="H132" s="1087"/>
      <c r="I132" s="1087"/>
    </row>
    <row r="133" spans="1:9" s="936" customFormat="1" ht="18" customHeight="1" hidden="1">
      <c r="A133" s="974"/>
      <c r="B133" s="975"/>
      <c r="C133" s="975"/>
      <c r="D133" s="975"/>
      <c r="E133" s="959"/>
      <c r="F133" s="960"/>
      <c r="H133" s="1087"/>
      <c r="I133" s="1087"/>
    </row>
    <row r="134" spans="1:9" s="936" customFormat="1" ht="18" customHeight="1" hidden="1">
      <c r="A134" s="797"/>
      <c r="B134" s="869" t="s">
        <v>525</v>
      </c>
      <c r="C134" s="870"/>
      <c r="D134" s="798"/>
      <c r="E134" s="798"/>
      <c r="F134" s="813"/>
      <c r="G134" s="813"/>
      <c r="H134" s="1087"/>
      <c r="I134" s="1087"/>
    </row>
    <row r="135" spans="1:9" s="936" customFormat="1" ht="18" customHeight="1" hidden="1">
      <c r="A135" s="976" t="s">
        <v>547</v>
      </c>
      <c r="B135" s="977"/>
      <c r="C135" s="977"/>
      <c r="D135" s="977"/>
      <c r="E135" s="977"/>
      <c r="F135" s="977"/>
      <c r="G135" s="830" t="s">
        <v>305</v>
      </c>
      <c r="H135" s="1087"/>
      <c r="I135" s="1087"/>
    </row>
    <row r="136" spans="1:9" s="936" customFormat="1" ht="18" customHeight="1" hidden="1">
      <c r="A136" s="941"/>
      <c r="B136" s="978"/>
      <c r="C136" s="978"/>
      <c r="D136" s="978"/>
      <c r="E136" s="958">
        <v>82</v>
      </c>
      <c r="F136" s="945" t="s">
        <v>526</v>
      </c>
      <c r="G136" s="943"/>
      <c r="H136" s="1087"/>
      <c r="I136" s="1087"/>
    </row>
    <row r="137" spans="1:9" s="936" customFormat="1" ht="18" customHeight="1" hidden="1">
      <c r="A137" s="941"/>
      <c r="B137" s="978"/>
      <c r="C137" s="978"/>
      <c r="D137" s="978"/>
      <c r="E137" s="958">
        <v>83</v>
      </c>
      <c r="F137" s="945" t="s">
        <v>527</v>
      </c>
      <c r="G137" s="943"/>
      <c r="H137" s="1087"/>
      <c r="I137" s="1087"/>
    </row>
    <row r="138" spans="1:9" s="936" customFormat="1" ht="18" customHeight="1" hidden="1">
      <c r="A138" s="941"/>
      <c r="B138" s="978"/>
      <c r="C138" s="978"/>
      <c r="D138" s="978"/>
      <c r="E138" s="958">
        <v>84</v>
      </c>
      <c r="F138" s="979" t="s">
        <v>528</v>
      </c>
      <c r="G138" s="943"/>
      <c r="H138" s="1087"/>
      <c r="I138" s="1087"/>
    </row>
    <row r="139" spans="1:9" s="936" customFormat="1" ht="18" customHeight="1" hidden="1">
      <c r="A139" s="941"/>
      <c r="B139" s="978"/>
      <c r="C139" s="978"/>
      <c r="D139" s="978"/>
      <c r="E139" s="958">
        <v>85</v>
      </c>
      <c r="F139" s="945" t="s">
        <v>516</v>
      </c>
      <c r="G139" s="943"/>
      <c r="H139" s="1087"/>
      <c r="I139" s="1087"/>
    </row>
    <row r="140" spans="1:12" s="936" customFormat="1" ht="18" customHeight="1" hidden="1">
      <c r="A140" s="941"/>
      <c r="B140" s="942"/>
      <c r="C140" s="942"/>
      <c r="D140" s="942"/>
      <c r="E140" s="942"/>
      <c r="F140" s="980" t="s">
        <v>517</v>
      </c>
      <c r="G140" s="948">
        <f>SUM(G136:G139)</f>
        <v>0</v>
      </c>
      <c r="H140" s="1095"/>
      <c r="I140" s="1091"/>
      <c r="J140" s="1334" t="str">
        <f>IF(SUM(G136:G139)&lt;&gt;100,"&lt;&lt; ATTENZIONE: LA PERCENTUALE DEVE ESSERE UGUALE AL 100%","")</f>
        <v>&lt;&lt; ATTENZIONE: LA PERCENTUALE DEVE ESSERE UGUALE AL 100%</v>
      </c>
      <c r="K140" s="1334"/>
      <c r="L140" s="1335"/>
    </row>
    <row r="141" spans="1:12" s="936" customFormat="1" ht="18" customHeight="1" hidden="1">
      <c r="A141" s="941"/>
      <c r="B141" s="961"/>
      <c r="C141" s="947"/>
      <c r="D141" s="940"/>
      <c r="E141" s="940"/>
      <c r="F141" s="940"/>
      <c r="G141" s="863"/>
      <c r="H141" s="1096"/>
      <c r="I141" s="1091"/>
      <c r="J141" s="1334"/>
      <c r="K141" s="1334"/>
      <c r="L141" s="1335"/>
    </row>
    <row r="142" spans="1:9" s="936" customFormat="1" ht="18" customHeight="1" hidden="1">
      <c r="A142" s="951">
        <v>86</v>
      </c>
      <c r="B142" s="945" t="s">
        <v>533</v>
      </c>
      <c r="C142" s="942"/>
      <c r="D142" s="942"/>
      <c r="E142" s="942"/>
      <c r="F142" s="940"/>
      <c r="G142" s="953"/>
      <c r="H142" s="1087"/>
      <c r="I142" s="1087"/>
    </row>
    <row r="143" spans="1:9" s="936" customFormat="1" ht="18" customHeight="1" hidden="1">
      <c r="A143" s="951"/>
      <c r="B143" s="944"/>
      <c r="C143" s="947"/>
      <c r="D143" s="940"/>
      <c r="E143" s="940"/>
      <c r="F143" s="940"/>
      <c r="G143" s="981"/>
      <c r="H143" s="1087"/>
      <c r="I143" s="1087"/>
    </row>
    <row r="144" spans="1:9" s="936" customFormat="1" ht="18" customHeight="1" hidden="1">
      <c r="A144" s="951">
        <v>87</v>
      </c>
      <c r="B144" s="945" t="s">
        <v>534</v>
      </c>
      <c r="C144" s="942"/>
      <c r="D144" s="942"/>
      <c r="E144" s="942"/>
      <c r="F144" s="979"/>
      <c r="G144" s="953"/>
      <c r="H144" s="1087"/>
      <c r="I144" s="1087"/>
    </row>
    <row r="145" spans="1:9" s="936" customFormat="1" ht="18" customHeight="1" hidden="1">
      <c r="A145" s="951"/>
      <c r="B145" s="944"/>
      <c r="C145" s="947"/>
      <c r="D145" s="940"/>
      <c r="E145" s="940"/>
      <c r="F145" s="940"/>
      <c r="G145" s="981"/>
      <c r="H145" s="1087"/>
      <c r="I145" s="1087"/>
    </row>
    <row r="146" spans="1:9" s="936" customFormat="1" ht="18" customHeight="1" hidden="1">
      <c r="A146" s="951">
        <v>88</v>
      </c>
      <c r="B146" s="945" t="s">
        <v>529</v>
      </c>
      <c r="C146" s="942"/>
      <c r="D146" s="942"/>
      <c r="E146" s="942"/>
      <c r="F146" s="979"/>
      <c r="G146" s="953"/>
      <c r="H146" s="1087"/>
      <c r="I146" s="1087"/>
    </row>
    <row r="147" spans="1:9" s="936" customFormat="1" ht="18" customHeight="1" hidden="1">
      <c r="A147" s="951"/>
      <c r="C147" s="947"/>
      <c r="D147" s="940"/>
      <c r="E147" s="940"/>
      <c r="F147" s="940"/>
      <c r="G147" s="863"/>
      <c r="H147" s="1087"/>
      <c r="I147" s="1087"/>
    </row>
    <row r="148" spans="1:9" s="936" customFormat="1" ht="18" customHeight="1" hidden="1">
      <c r="A148" s="951">
        <v>89</v>
      </c>
      <c r="B148" s="945" t="s">
        <v>530</v>
      </c>
      <c r="C148" s="942"/>
      <c r="D148" s="942"/>
      <c r="E148" s="942"/>
      <c r="F148" s="940"/>
      <c r="G148" s="953"/>
      <c r="H148" s="1087"/>
      <c r="I148" s="1087"/>
    </row>
    <row r="149" spans="1:9" s="936" customFormat="1" ht="18" customHeight="1" hidden="1">
      <c r="A149" s="951"/>
      <c r="B149" s="961"/>
      <c r="C149" s="947"/>
      <c r="D149" s="940"/>
      <c r="E149" s="940"/>
      <c r="F149" s="940"/>
      <c r="G149" s="981"/>
      <c r="H149" s="1087"/>
      <c r="I149" s="1087"/>
    </row>
    <row r="150" spans="1:9" s="936" customFormat="1" ht="18" customHeight="1" hidden="1">
      <c r="A150" s="951">
        <v>90</v>
      </c>
      <c r="B150" s="945" t="s">
        <v>531</v>
      </c>
      <c r="C150" s="942"/>
      <c r="D150" s="942"/>
      <c r="E150" s="942"/>
      <c r="F150" s="979"/>
      <c r="G150" s="953"/>
      <c r="H150" s="1087"/>
      <c r="I150" s="1087"/>
    </row>
    <row r="151" spans="1:9" s="936" customFormat="1" ht="18" customHeight="1" hidden="1">
      <c r="A151" s="951"/>
      <c r="B151" s="944"/>
      <c r="C151" s="947"/>
      <c r="D151" s="940"/>
      <c r="E151" s="940"/>
      <c r="F151" s="940"/>
      <c r="G151" s="981"/>
      <c r="H151" s="1087"/>
      <c r="I151" s="1087"/>
    </row>
    <row r="152" spans="1:9" s="936" customFormat="1" ht="18" customHeight="1" hidden="1">
      <c r="A152" s="951">
        <v>91</v>
      </c>
      <c r="B152" s="945" t="s">
        <v>532</v>
      </c>
      <c r="C152" s="942"/>
      <c r="D152" s="942"/>
      <c r="E152" s="942"/>
      <c r="F152" s="979"/>
      <c r="G152" s="953"/>
      <c r="H152" s="1087"/>
      <c r="I152" s="1087"/>
    </row>
    <row r="153" spans="1:9" s="936" customFormat="1" ht="18" customHeight="1" hidden="1">
      <c r="A153" s="951"/>
      <c r="B153" s="944"/>
      <c r="C153" s="947"/>
      <c r="D153" s="940"/>
      <c r="E153" s="940"/>
      <c r="F153" s="940"/>
      <c r="G153" s="981"/>
      <c r="H153" s="1087"/>
      <c r="I153" s="1087"/>
    </row>
    <row r="154" spans="1:9" s="936" customFormat="1" ht="18" customHeight="1" hidden="1">
      <c r="A154" s="951">
        <v>92</v>
      </c>
      <c r="B154" s="945" t="s">
        <v>535</v>
      </c>
      <c r="C154" s="942"/>
      <c r="D154" s="942"/>
      <c r="E154" s="942"/>
      <c r="F154" s="979"/>
      <c r="G154" s="953"/>
      <c r="H154" s="1087"/>
      <c r="I154" s="1087"/>
    </row>
    <row r="155" spans="1:9" s="936" customFormat="1" ht="18" customHeight="1" hidden="1">
      <c r="A155" s="937"/>
      <c r="B155" s="944"/>
      <c r="C155" s="947"/>
      <c r="D155" s="940"/>
      <c r="E155" s="940"/>
      <c r="F155" s="940"/>
      <c r="G155" s="863"/>
      <c r="H155" s="1087"/>
      <c r="I155" s="1087"/>
    </row>
    <row r="156" spans="1:9" s="936" customFormat="1" ht="18" customHeight="1" hidden="1">
      <c r="A156" s="941">
        <v>93</v>
      </c>
      <c r="B156" s="945" t="s">
        <v>536</v>
      </c>
      <c r="C156" s="942"/>
      <c r="D156" s="942"/>
      <c r="E156" s="942"/>
      <c r="F156" s="940"/>
      <c r="G156" s="953"/>
      <c r="H156" s="1087"/>
      <c r="I156" s="1087"/>
    </row>
    <row r="157" spans="1:9" s="936" customFormat="1" ht="18" customHeight="1" hidden="1">
      <c r="A157" s="951"/>
      <c r="B157" s="944"/>
      <c r="C157" s="947"/>
      <c r="D157" s="940"/>
      <c r="E157" s="940"/>
      <c r="F157" s="940"/>
      <c r="G157" s="981"/>
      <c r="H157" s="1087"/>
      <c r="I157" s="1087"/>
    </row>
    <row r="158" spans="1:9" s="984" customFormat="1" ht="18" customHeight="1" hidden="1">
      <c r="A158" s="951">
        <v>94</v>
      </c>
      <c r="B158" s="945" t="s">
        <v>537</v>
      </c>
      <c r="C158" s="982"/>
      <c r="D158" s="982"/>
      <c r="E158" s="982"/>
      <c r="F158" s="983"/>
      <c r="G158" s="953"/>
      <c r="H158" s="1097"/>
      <c r="I158" s="1097"/>
    </row>
    <row r="159" spans="1:9" s="872" customFormat="1" ht="18" customHeight="1" hidden="1">
      <c r="A159" s="951"/>
      <c r="B159" s="944"/>
      <c r="C159" s="947"/>
      <c r="D159" s="940"/>
      <c r="E159" s="940"/>
      <c r="F159" s="940"/>
      <c r="G159" s="981"/>
      <c r="H159" s="1079"/>
      <c r="I159" s="1080"/>
    </row>
    <row r="160" spans="1:9" s="874" customFormat="1" ht="18" customHeight="1" hidden="1">
      <c r="A160" s="951">
        <v>95</v>
      </c>
      <c r="B160" s="945" t="s">
        <v>538</v>
      </c>
      <c r="C160" s="942"/>
      <c r="D160" s="942"/>
      <c r="E160" s="942"/>
      <c r="F160" s="979"/>
      <c r="G160" s="953"/>
      <c r="H160" s="1081"/>
      <c r="I160" s="1082"/>
    </row>
    <row r="161" spans="1:9" s="874" customFormat="1" ht="18" customHeight="1" hidden="1">
      <c r="A161" s="951"/>
      <c r="B161" s="945"/>
      <c r="C161" s="942"/>
      <c r="D161" s="942"/>
      <c r="E161" s="942"/>
      <c r="F161" s="954"/>
      <c r="G161" s="986"/>
      <c r="H161" s="1081"/>
      <c r="I161" s="1082"/>
    </row>
    <row r="162" spans="1:9" s="874" customFormat="1" ht="18" customHeight="1" hidden="1">
      <c r="A162" s="951">
        <v>96</v>
      </c>
      <c r="B162" s="945" t="s">
        <v>494</v>
      </c>
      <c r="C162" s="942"/>
      <c r="D162" s="942"/>
      <c r="E162" s="942"/>
      <c r="F162" s="954"/>
      <c r="G162" s="966"/>
      <c r="H162" s="1081"/>
      <c r="I162" s="1082"/>
    </row>
    <row r="163" spans="1:9" s="874" customFormat="1" ht="18" customHeight="1" hidden="1">
      <c r="A163" s="951"/>
      <c r="B163" s="945"/>
      <c r="C163" s="942"/>
      <c r="D163" s="942"/>
      <c r="E163" s="942"/>
      <c r="F163" s="954"/>
      <c r="G163" s="986"/>
      <c r="H163" s="1081"/>
      <c r="I163" s="1082"/>
    </row>
    <row r="164" spans="1:9" s="874" customFormat="1" ht="18" customHeight="1" hidden="1">
      <c r="A164" s="1057">
        <v>97</v>
      </c>
      <c r="B164" s="987" t="s">
        <v>494</v>
      </c>
      <c r="C164" s="988"/>
      <c r="D164" s="988"/>
      <c r="E164" s="988"/>
      <c r="F164" s="989"/>
      <c r="G164" s="966"/>
      <c r="H164" s="1081"/>
      <c r="I164" s="1082"/>
    </row>
    <row r="165" spans="1:9" s="874" customFormat="1" ht="18" customHeight="1">
      <c r="A165" s="985"/>
      <c r="B165" s="945"/>
      <c r="C165" s="942"/>
      <c r="D165" s="942"/>
      <c r="E165" s="942"/>
      <c r="F165" s="954"/>
      <c r="G165" s="990"/>
      <c r="H165" s="1081"/>
      <c r="I165" s="1082"/>
    </row>
    <row r="166" spans="1:9" s="855" customFormat="1" ht="18" customHeight="1">
      <c r="A166" s="878"/>
      <c r="B166" s="879" t="s">
        <v>504</v>
      </c>
      <c r="C166" s="843"/>
      <c r="D166" s="843"/>
      <c r="E166" s="843"/>
      <c r="F166" s="880"/>
      <c r="G166" s="831"/>
      <c r="H166" s="1098"/>
      <c r="I166" s="1084"/>
    </row>
    <row r="167" spans="1:9" s="783" customFormat="1" ht="18" customHeight="1">
      <c r="A167" s="881"/>
      <c r="B167" s="882"/>
      <c r="C167" s="882"/>
      <c r="D167" s="882"/>
      <c r="E167" s="882"/>
      <c r="F167" s="845" t="s">
        <v>298</v>
      </c>
      <c r="G167" s="846" t="s">
        <v>299</v>
      </c>
      <c r="H167" s="1099"/>
      <c r="I167" s="848"/>
    </row>
    <row r="168" spans="1:7" ht="30" customHeight="1">
      <c r="A168" s="833">
        <v>28</v>
      </c>
      <c r="B168" s="856" t="s">
        <v>300</v>
      </c>
      <c r="C168" s="825"/>
      <c r="D168" s="825"/>
      <c r="E168" s="825"/>
      <c r="F168" s="1212"/>
      <c r="G168" s="1212"/>
    </row>
    <row r="169" spans="1:7" ht="9" customHeight="1">
      <c r="A169" s="820"/>
      <c r="B169" s="825"/>
      <c r="C169" s="825"/>
      <c r="D169" s="825"/>
      <c r="E169" s="825"/>
      <c r="F169" s="823"/>
      <c r="G169" s="824"/>
    </row>
    <row r="170" spans="1:9" s="886" customFormat="1" ht="30" customHeight="1">
      <c r="A170" s="833">
        <v>29</v>
      </c>
      <c r="B170" s="1356" t="s">
        <v>51</v>
      </c>
      <c r="C170" s="1356"/>
      <c r="D170" s="1356"/>
      <c r="E170" s="1357"/>
      <c r="F170" s="885"/>
      <c r="G170" s="884"/>
      <c r="H170" s="1100">
        <v>2</v>
      </c>
      <c r="I170" s="848" t="str">
        <f>IF(H170=1,"VERO",IF(H170=2,"FALSO",""))</f>
        <v>FALSO</v>
      </c>
    </row>
    <row r="171" spans="1:9" s="888" customFormat="1" ht="30" customHeight="1">
      <c r="A171" s="820"/>
      <c r="B171" s="887"/>
      <c r="C171" s="887"/>
      <c r="D171" s="896">
        <v>30</v>
      </c>
      <c r="E171" s="856" t="s">
        <v>453</v>
      </c>
      <c r="F171" s="885"/>
      <c r="G171" s="1353">
        <f>IF(AND(H170=1,H171=0),"RISPOSTA OBBLIGATORIA","")</f>
      </c>
      <c r="H171" s="1101">
        <v>0</v>
      </c>
      <c r="I171" s="1060">
        <f>IF(H171=1,"VERO",IF(H171=2,"FALSO",""))</f>
      </c>
    </row>
    <row r="172" spans="1:9" s="855" customFormat="1" ht="30" customHeight="1">
      <c r="A172" s="820"/>
      <c r="B172" s="889"/>
      <c r="C172" s="849"/>
      <c r="D172" s="896">
        <v>31</v>
      </c>
      <c r="E172" s="856" t="s">
        <v>454</v>
      </c>
      <c r="F172" s="1026"/>
      <c r="G172" s="1354"/>
      <c r="H172" s="1083"/>
      <c r="I172" s="1060">
        <f>IF(H171=1,"FALSO",IF(H171=2,"VERO",""))</f>
      </c>
    </row>
    <row r="173" spans="1:9" s="855" customFormat="1" ht="9" customHeight="1">
      <c r="A173" s="833"/>
      <c r="B173" s="890"/>
      <c r="C173" s="890"/>
      <c r="D173" s="891"/>
      <c r="E173" s="890"/>
      <c r="F173" s="823"/>
      <c r="G173" s="892"/>
      <c r="H173" s="1083"/>
      <c r="I173" s="1084"/>
    </row>
    <row r="174" spans="1:9" s="855" customFormat="1" ht="30" customHeight="1">
      <c r="A174" s="833">
        <v>32</v>
      </c>
      <c r="B174" s="856" t="s">
        <v>300</v>
      </c>
      <c r="C174" s="893"/>
      <c r="D174" s="894"/>
      <c r="E174" s="893"/>
      <c r="F174" s="895"/>
      <c r="G174" s="892"/>
      <c r="H174" s="1083"/>
      <c r="I174" s="1083"/>
    </row>
    <row r="175" spans="1:9" s="855" customFormat="1" ht="30" customHeight="1">
      <c r="A175" s="833"/>
      <c r="B175" s="893"/>
      <c r="C175" s="893"/>
      <c r="D175" s="896">
        <v>33</v>
      </c>
      <c r="E175" s="856" t="s">
        <v>300</v>
      </c>
      <c r="F175" s="1212"/>
      <c r="G175" s="1351">
        <f>IF(AND(H170=1,H171=2,F175=0,F176=0,F177=0,F178=0),"IMMETTERE UN VALORE PER ALMENO UNA DELLE TIPOLOGIE DI ISTITUZIONE","")</f>
      </c>
      <c r="H175" s="1085"/>
      <c r="I175" s="1084"/>
    </row>
    <row r="176" spans="1:9" s="855" customFormat="1" ht="30" customHeight="1">
      <c r="A176" s="833"/>
      <c r="B176" s="893"/>
      <c r="C176" s="893"/>
      <c r="D176" s="896">
        <v>34</v>
      </c>
      <c r="E176" s="856" t="s">
        <v>300</v>
      </c>
      <c r="F176" s="1212"/>
      <c r="G176" s="1352"/>
      <c r="H176" s="1098"/>
      <c r="I176" s="1084"/>
    </row>
    <row r="177" spans="1:9" s="783" customFormat="1" ht="30" customHeight="1">
      <c r="A177" s="833"/>
      <c r="B177" s="893"/>
      <c r="C177" s="893"/>
      <c r="D177" s="896">
        <v>35</v>
      </c>
      <c r="E177" s="856" t="s">
        <v>300</v>
      </c>
      <c r="F177" s="1212"/>
      <c r="G177" s="1352"/>
      <c r="H177" s="1099"/>
      <c r="I177" s="848"/>
    </row>
    <row r="178" spans="1:7" ht="30" customHeight="1">
      <c r="A178" s="833"/>
      <c r="B178" s="898"/>
      <c r="C178" s="898"/>
      <c r="D178" s="896">
        <v>36</v>
      </c>
      <c r="E178" s="856" t="s">
        <v>300</v>
      </c>
      <c r="F178" s="1212"/>
      <c r="G178" s="1352"/>
    </row>
    <row r="179" spans="1:7" ht="9" customHeight="1">
      <c r="A179" s="833"/>
      <c r="B179" s="898"/>
      <c r="C179" s="898"/>
      <c r="D179" s="896"/>
      <c r="E179" s="857"/>
      <c r="F179" s="1109"/>
      <c r="G179" s="1068"/>
    </row>
    <row r="180" spans="1:7" ht="9" customHeight="1">
      <c r="A180" s="899"/>
      <c r="B180" s="900"/>
      <c r="C180" s="900"/>
      <c r="D180" s="901"/>
      <c r="E180" s="828"/>
      <c r="F180" s="902"/>
      <c r="G180" s="903"/>
    </row>
    <row r="181" spans="1:9" s="886" customFormat="1" ht="30" customHeight="1">
      <c r="A181" s="833">
        <v>38</v>
      </c>
      <c r="B181" s="1356" t="s">
        <v>505</v>
      </c>
      <c r="C181" s="1356"/>
      <c r="D181" s="1356"/>
      <c r="E181" s="1357"/>
      <c r="F181" s="884"/>
      <c r="G181" s="884"/>
      <c r="H181" s="1100">
        <v>2</v>
      </c>
      <c r="I181" s="848" t="str">
        <f>IF(H181=1,"VERO",IF(H181=2,"FALSO",""))</f>
        <v>FALSO</v>
      </c>
    </row>
    <row r="182" spans="1:9" ht="30" customHeight="1">
      <c r="A182" s="820"/>
      <c r="B182" s="887"/>
      <c r="C182" s="887"/>
      <c r="D182" s="896">
        <v>39</v>
      </c>
      <c r="E182" s="856" t="s">
        <v>453</v>
      </c>
      <c r="F182" s="1028"/>
      <c r="G182" s="1353">
        <f>IF(AND(H181=1,H182=0),"RISPOSTA OBBLIGATORIA","")</f>
      </c>
      <c r="H182" s="1076">
        <v>0</v>
      </c>
      <c r="I182" s="1060">
        <f>IF(H182=1,"VERO",IF(H182=2,"FALSO",""))</f>
      </c>
    </row>
    <row r="183" spans="1:9" s="869" customFormat="1" ht="30" customHeight="1">
      <c r="A183" s="820"/>
      <c r="B183" s="889"/>
      <c r="C183" s="837"/>
      <c r="D183" s="896">
        <v>40</v>
      </c>
      <c r="E183" s="856" t="s">
        <v>454</v>
      </c>
      <c r="F183" s="1029"/>
      <c r="G183" s="1355"/>
      <c r="H183" s="1102"/>
      <c r="I183" s="1060">
        <f>IF(H182=1,"FALSO",IF(H182=2,"VERO",""))</f>
      </c>
    </row>
    <row r="184" spans="1:7" ht="30" customHeight="1">
      <c r="A184" s="833">
        <v>41</v>
      </c>
      <c r="B184" s="828" t="s">
        <v>494</v>
      </c>
      <c r="C184" s="828"/>
      <c r="D184" s="828"/>
      <c r="E184" s="828"/>
      <c r="F184" s="1212"/>
      <c r="G184" s="1212"/>
    </row>
    <row r="185" spans="1:7" ht="30" customHeight="1">
      <c r="A185" s="833">
        <v>42</v>
      </c>
      <c r="B185" s="828" t="s">
        <v>494</v>
      </c>
      <c r="C185" s="828"/>
      <c r="D185" s="828"/>
      <c r="E185" s="828"/>
      <c r="F185" s="1212"/>
      <c r="G185" s="1212"/>
    </row>
    <row r="186" spans="1:7" ht="9" customHeight="1">
      <c r="A186" s="833"/>
      <c r="B186" s="890"/>
      <c r="C186" s="890"/>
      <c r="D186" s="891"/>
      <c r="E186" s="890"/>
      <c r="F186" s="823"/>
      <c r="G186" s="892"/>
    </row>
    <row r="187" spans="1:7" ht="30" customHeight="1">
      <c r="A187" s="833">
        <v>43</v>
      </c>
      <c r="B187" s="828" t="s">
        <v>494</v>
      </c>
      <c r="C187" s="890"/>
      <c r="D187" s="891"/>
      <c r="E187" s="890"/>
      <c r="F187" s="784"/>
      <c r="G187" s="904"/>
    </row>
    <row r="188" spans="1:7" ht="30" customHeight="1">
      <c r="A188" s="833">
        <v>44</v>
      </c>
      <c r="B188" s="828" t="s">
        <v>494</v>
      </c>
      <c r="C188" s="893"/>
      <c r="D188" s="894"/>
      <c r="E188" s="893"/>
      <c r="F188" s="784"/>
      <c r="G188" s="1062"/>
    </row>
    <row r="189" spans="1:12" ht="30" customHeight="1">
      <c r="A189" s="833"/>
      <c r="B189" s="893"/>
      <c r="C189" s="893"/>
      <c r="D189" s="896">
        <v>45</v>
      </c>
      <c r="E189" s="828" t="s">
        <v>494</v>
      </c>
      <c r="F189" s="784"/>
      <c r="G189" s="1212"/>
      <c r="J189" s="1339"/>
      <c r="K189" s="1339"/>
      <c r="L189" s="1339"/>
    </row>
    <row r="190" spans="1:12" ht="18" customHeight="1" hidden="1">
      <c r="A190" s="833"/>
      <c r="B190" s="893"/>
      <c r="C190" s="893"/>
      <c r="D190" s="896"/>
      <c r="E190" s="857"/>
      <c r="F190" s="784"/>
      <c r="G190" s="1212"/>
      <c r="J190" s="1339"/>
      <c r="K190" s="1339"/>
      <c r="L190" s="1339"/>
    </row>
    <row r="191" spans="1:12" ht="30" customHeight="1">
      <c r="A191" s="833"/>
      <c r="B191" s="893"/>
      <c r="C191" s="893"/>
      <c r="D191" s="896">
        <v>46</v>
      </c>
      <c r="E191" s="828" t="s">
        <v>494</v>
      </c>
      <c r="F191" s="784"/>
      <c r="G191" s="1212"/>
      <c r="J191" s="1339"/>
      <c r="K191" s="1339"/>
      <c r="L191" s="1339"/>
    </row>
    <row r="192" spans="1:12" ht="18" customHeight="1" hidden="1">
      <c r="A192" s="833"/>
      <c r="B192" s="893"/>
      <c r="C192" s="893"/>
      <c r="D192" s="896"/>
      <c r="E192" s="849"/>
      <c r="F192" s="784"/>
      <c r="G192" s="1212"/>
      <c r="J192" s="1339"/>
      <c r="K192" s="1339"/>
      <c r="L192" s="1339"/>
    </row>
    <row r="193" spans="1:12" ht="30" customHeight="1">
      <c r="A193" s="833"/>
      <c r="B193" s="893"/>
      <c r="C193" s="893"/>
      <c r="D193" s="896">
        <v>47</v>
      </c>
      <c r="E193" s="828" t="s">
        <v>494</v>
      </c>
      <c r="F193" s="784"/>
      <c r="G193" s="1212"/>
      <c r="J193" s="1339"/>
      <c r="K193" s="1339"/>
      <c r="L193" s="1339"/>
    </row>
    <row r="194" spans="1:12" ht="18" customHeight="1" hidden="1">
      <c r="A194" s="833"/>
      <c r="B194" s="893"/>
      <c r="C194" s="893"/>
      <c r="D194" s="896"/>
      <c r="E194" s="849"/>
      <c r="F194" s="784"/>
      <c r="G194" s="1212"/>
      <c r="J194" s="1339"/>
      <c r="K194" s="1339"/>
      <c r="L194" s="1339"/>
    </row>
    <row r="195" spans="1:12" ht="30" customHeight="1">
      <c r="A195" s="833"/>
      <c r="B195" s="898"/>
      <c r="C195" s="898"/>
      <c r="D195" s="896">
        <v>48</v>
      </c>
      <c r="E195" s="828" t="s">
        <v>494</v>
      </c>
      <c r="F195" s="1061"/>
      <c r="G195" s="1212"/>
      <c r="J195" s="1339"/>
      <c r="K195" s="1339"/>
      <c r="L195" s="1339"/>
    </row>
    <row r="196" spans="1:7" ht="9" customHeight="1">
      <c r="A196" s="833"/>
      <c r="B196" s="861"/>
      <c r="C196" s="861"/>
      <c r="D196" s="861"/>
      <c r="E196" s="861"/>
      <c r="F196" s="784"/>
      <c r="G196" s="1063"/>
    </row>
    <row r="197" spans="1:7" ht="30" customHeight="1">
      <c r="A197" s="833">
        <v>49</v>
      </c>
      <c r="B197" s="856" t="s">
        <v>494</v>
      </c>
      <c r="C197" s="861"/>
      <c r="D197" s="861"/>
      <c r="E197" s="861"/>
      <c r="F197" s="784"/>
      <c r="G197" s="905"/>
    </row>
    <row r="198" spans="1:7" ht="9" customHeight="1">
      <c r="A198" s="833"/>
      <c r="B198" s="861"/>
      <c r="C198" s="861"/>
      <c r="D198" s="861"/>
      <c r="E198" s="861"/>
      <c r="F198" s="784"/>
      <c r="G198" s="1063"/>
    </row>
    <row r="199" spans="1:7" ht="30" customHeight="1">
      <c r="A199" s="833">
        <v>50</v>
      </c>
      <c r="B199" s="856" t="s">
        <v>494</v>
      </c>
      <c r="C199" s="861"/>
      <c r="D199" s="861"/>
      <c r="E199" s="861"/>
      <c r="F199" s="784"/>
      <c r="G199" s="905"/>
    </row>
    <row r="200" spans="1:7" ht="9" customHeight="1">
      <c r="A200" s="865"/>
      <c r="B200" s="868"/>
      <c r="C200" s="868"/>
      <c r="D200" s="868"/>
      <c r="E200" s="868"/>
      <c r="F200" s="868"/>
      <c r="G200" s="906"/>
    </row>
    <row r="201" spans="1:11" ht="12" customHeight="1" hidden="1">
      <c r="A201" s="807"/>
      <c r="C201" s="870"/>
      <c r="G201" s="883"/>
      <c r="H201" s="1103">
        <f>SUM(E13:G13,E15:G15,E17:G17,G20,G22,G24,G26,G28,G30,G32,G34,G39,G41,G43,G45,H48,H50,H52,H54,F57:G57,F59:G59,F61:G61,F63:G63,H67,H69,H71,H73,G76,G78,G80)</f>
        <v>76203.13</v>
      </c>
      <c r="I201" s="1104">
        <f>SUM(G82,G84,G86,H91,H93,H95,G98:G103,G106,G109:G110,G113:G114,G117:G118,G121:G122,G125:G126,G129:G130,G136:G139,G142,G144,G146,G148,G150,G152,G154,G156,G158,G160,G162,G164,H168,H170,H171)</f>
        <v>2</v>
      </c>
      <c r="J201" s="1070">
        <f>SUM(F175:F178,H181,H182,H183,H184,H185,G187,G189,G191,G193,G195,G197,G199)</f>
        <v>2</v>
      </c>
      <c r="K201" s="1070">
        <f>SUM(H201:J201)</f>
        <v>76207.13</v>
      </c>
    </row>
    <row r="202" spans="1:11" ht="9" customHeight="1">
      <c r="A202" s="807"/>
      <c r="C202" s="870"/>
      <c r="G202" s="883"/>
      <c r="H202" s="1105"/>
      <c r="I202" s="1106"/>
      <c r="J202" s="1069"/>
      <c r="K202" s="1069"/>
    </row>
    <row r="203" spans="1:9" s="912" customFormat="1" ht="18">
      <c r="A203" s="907"/>
      <c r="B203" s="908" t="s">
        <v>506</v>
      </c>
      <c r="C203" s="909"/>
      <c r="D203" s="910"/>
      <c r="E203" s="910"/>
      <c r="F203" s="910"/>
      <c r="G203" s="911"/>
      <c r="H203" s="1107"/>
      <c r="I203" s="1108"/>
    </row>
    <row r="204" spans="1:7" ht="12">
      <c r="A204" s="1342"/>
      <c r="B204" s="1343"/>
      <c r="C204" s="1343"/>
      <c r="D204" s="1343"/>
      <c r="E204" s="1343"/>
      <c r="F204" s="1343"/>
      <c r="G204" s="1344"/>
    </row>
    <row r="205" spans="1:7" ht="12">
      <c r="A205" s="1345"/>
      <c r="B205" s="1346"/>
      <c r="C205" s="1346"/>
      <c r="D205" s="1346"/>
      <c r="E205" s="1346"/>
      <c r="F205" s="1346"/>
      <c r="G205" s="1347"/>
    </row>
    <row r="206" spans="1:7" ht="12">
      <c r="A206" s="1345"/>
      <c r="B206" s="1346"/>
      <c r="C206" s="1346"/>
      <c r="D206" s="1346"/>
      <c r="E206" s="1346"/>
      <c r="F206" s="1346"/>
      <c r="G206" s="1347"/>
    </row>
    <row r="207" spans="1:7" ht="12">
      <c r="A207" s="1345"/>
      <c r="B207" s="1346"/>
      <c r="C207" s="1346"/>
      <c r="D207" s="1346"/>
      <c r="E207" s="1346"/>
      <c r="F207" s="1346"/>
      <c r="G207" s="1347"/>
    </row>
    <row r="208" spans="1:7" ht="12">
      <c r="A208" s="1345"/>
      <c r="B208" s="1346"/>
      <c r="C208" s="1346"/>
      <c r="D208" s="1346"/>
      <c r="E208" s="1346"/>
      <c r="F208" s="1346"/>
      <c r="G208" s="1347"/>
    </row>
    <row r="209" spans="1:7" ht="12">
      <c r="A209" s="1348"/>
      <c r="B209" s="1349"/>
      <c r="C209" s="1349"/>
      <c r="D209" s="1349"/>
      <c r="E209" s="1349"/>
      <c r="F209" s="1349"/>
      <c r="G209" s="1350"/>
    </row>
    <row r="210" spans="1:7" ht="15">
      <c r="A210" s="913"/>
      <c r="B210" s="861"/>
      <c r="C210" s="861"/>
      <c r="D210" s="861"/>
      <c r="E210" s="861"/>
      <c r="F210" s="861"/>
      <c r="G210" s="784"/>
    </row>
    <row r="211" spans="1:12" ht="12.75">
      <c r="A211" s="914"/>
      <c r="B211" s="915"/>
      <c r="C211" s="915"/>
      <c r="D211" s="915"/>
      <c r="E211" s="915"/>
      <c r="F211" s="915"/>
      <c r="G211" s="916"/>
      <c r="H211" s="848"/>
      <c r="J211" s="783"/>
      <c r="K211" s="783"/>
      <c r="L211" s="783"/>
    </row>
    <row r="212" spans="1:12" ht="15" hidden="1">
      <c r="A212" s="917"/>
      <c r="B212" s="918"/>
      <c r="C212" s="918"/>
      <c r="D212" s="918"/>
      <c r="E212" s="918"/>
      <c r="F212" s="918"/>
      <c r="G212" s="918"/>
      <c r="H212" s="848"/>
      <c r="J212" s="783"/>
      <c r="K212" s="783"/>
      <c r="L212" s="783"/>
    </row>
    <row r="213" spans="1:12" ht="15" hidden="1">
      <c r="A213" s="917"/>
      <c r="B213" s="918"/>
      <c r="C213" s="918"/>
      <c r="D213" s="918"/>
      <c r="E213" s="918"/>
      <c r="F213" s="918"/>
      <c r="G213" s="918"/>
      <c r="H213" s="848"/>
      <c r="J213" s="783"/>
      <c r="K213" s="783"/>
      <c r="L213" s="783"/>
    </row>
    <row r="214" spans="1:12" ht="15" hidden="1">
      <c r="A214" s="917"/>
      <c r="B214" s="918"/>
      <c r="C214" s="918"/>
      <c r="D214" s="918"/>
      <c r="E214" s="918"/>
      <c r="F214" s="918"/>
      <c r="G214" s="918"/>
      <c r="H214" s="848"/>
      <c r="J214" s="783"/>
      <c r="K214" s="783"/>
      <c r="L214" s="783"/>
    </row>
    <row r="215" spans="1:12" ht="15" hidden="1">
      <c r="A215" s="917"/>
      <c r="B215" s="918"/>
      <c r="C215" s="918"/>
      <c r="D215" s="918"/>
      <c r="E215" s="918"/>
      <c r="F215" s="918"/>
      <c r="G215" s="918"/>
      <c r="H215" s="848"/>
      <c r="J215" s="783"/>
      <c r="K215" s="783"/>
      <c r="L215" s="783"/>
    </row>
    <row r="216" spans="1:12" ht="15" hidden="1">
      <c r="A216" s="917"/>
      <c r="B216" s="918"/>
      <c r="C216" s="918"/>
      <c r="D216" s="918"/>
      <c r="E216" s="918"/>
      <c r="F216" s="918"/>
      <c r="G216" s="918"/>
      <c r="H216" s="848"/>
      <c r="J216" s="783"/>
      <c r="K216" s="783"/>
      <c r="L216" s="783"/>
    </row>
    <row r="217" spans="1:12" ht="15" hidden="1">
      <c r="A217" s="917"/>
      <c r="B217" s="918"/>
      <c r="C217" s="918"/>
      <c r="D217" s="918"/>
      <c r="E217" s="918"/>
      <c r="F217" s="918"/>
      <c r="G217" s="918"/>
      <c r="H217" s="848"/>
      <c r="J217" s="783"/>
      <c r="K217" s="783"/>
      <c r="L217" s="783"/>
    </row>
    <row r="218" spans="1:12" ht="15" hidden="1">
      <c r="A218" s="917"/>
      <c r="B218" s="918"/>
      <c r="C218" s="918"/>
      <c r="D218" s="918"/>
      <c r="E218" s="918"/>
      <c r="F218" s="918"/>
      <c r="G218" s="918"/>
      <c r="H218" s="848"/>
      <c r="J218" s="783"/>
      <c r="K218" s="783"/>
      <c r="L218" s="783"/>
    </row>
    <row r="219" spans="1:12" ht="15" hidden="1">
      <c r="A219" s="917"/>
      <c r="B219" s="918"/>
      <c r="C219" s="918"/>
      <c r="D219" s="918"/>
      <c r="E219" s="918"/>
      <c r="F219" s="918"/>
      <c r="G219" s="918"/>
      <c r="H219" s="848"/>
      <c r="J219" s="783"/>
      <c r="K219" s="783"/>
      <c r="L219" s="783"/>
    </row>
    <row r="220" spans="1:12" ht="15" hidden="1">
      <c r="A220" s="917"/>
      <c r="B220" s="918"/>
      <c r="C220" s="918"/>
      <c r="D220" s="918"/>
      <c r="E220" s="918"/>
      <c r="F220" s="918"/>
      <c r="G220" s="918"/>
      <c r="H220" s="848"/>
      <c r="J220" s="783"/>
      <c r="K220" s="783"/>
      <c r="L220" s="783"/>
    </row>
    <row r="221" spans="1:12" ht="15" hidden="1">
      <c r="A221" s="917"/>
      <c r="B221" s="918"/>
      <c r="C221" s="918"/>
      <c r="D221" s="918"/>
      <c r="E221" s="918"/>
      <c r="F221" s="918"/>
      <c r="G221" s="918"/>
      <c r="H221" s="848"/>
      <c r="J221" s="783"/>
      <c r="K221" s="783"/>
      <c r="L221" s="783"/>
    </row>
    <row r="222" spans="1:12" ht="30" customHeight="1" hidden="1">
      <c r="A222" s="917"/>
      <c r="B222" s="918"/>
      <c r="C222" s="918"/>
      <c r="D222" s="918"/>
      <c r="E222" s="918"/>
      <c r="F222" s="918"/>
      <c r="G222" s="918"/>
      <c r="H222" s="848"/>
      <c r="J222" s="783"/>
      <c r="K222" s="783"/>
      <c r="L222" s="783"/>
    </row>
    <row r="223" spans="1:12" ht="24" customHeight="1" hidden="1">
      <c r="A223" s="917"/>
      <c r="B223" s="918"/>
      <c r="C223" s="918"/>
      <c r="D223" s="918"/>
      <c r="E223" s="918"/>
      <c r="F223" s="918"/>
      <c r="G223" s="918"/>
      <c r="H223" s="848"/>
      <c r="J223" s="783"/>
      <c r="K223" s="783"/>
      <c r="L223" s="783"/>
    </row>
    <row r="224" spans="1:12" ht="23.25" customHeight="1" hidden="1">
      <c r="A224" s="917"/>
      <c r="B224" s="918"/>
      <c r="C224" s="918"/>
      <c r="D224" s="918"/>
      <c r="E224" s="918"/>
      <c r="F224" s="918"/>
      <c r="G224" s="918"/>
      <c r="H224" s="848"/>
      <c r="J224" s="783"/>
      <c r="K224" s="783"/>
      <c r="L224" s="783"/>
    </row>
    <row r="225" spans="1:12" ht="15" hidden="1">
      <c r="A225" s="917"/>
      <c r="B225" s="918"/>
      <c r="C225" s="918"/>
      <c r="D225" s="918"/>
      <c r="E225" s="918"/>
      <c r="F225" s="918"/>
      <c r="G225" s="918"/>
      <c r="H225" s="848"/>
      <c r="J225" s="783"/>
      <c r="K225" s="783"/>
      <c r="L225" s="783"/>
    </row>
    <row r="226" spans="1:12" ht="15" hidden="1">
      <c r="A226" s="917"/>
      <c r="B226" s="918"/>
      <c r="C226" s="918"/>
      <c r="D226" s="918"/>
      <c r="E226" s="918"/>
      <c r="F226" s="918"/>
      <c r="G226" s="918"/>
      <c r="H226" s="848"/>
      <c r="J226" s="783"/>
      <c r="K226" s="783"/>
      <c r="L226" s="783"/>
    </row>
    <row r="227" spans="1:12" ht="15" hidden="1">
      <c r="A227" s="917"/>
      <c r="B227" s="918"/>
      <c r="C227" s="918"/>
      <c r="D227" s="918"/>
      <c r="E227" s="918"/>
      <c r="F227" s="918"/>
      <c r="G227" s="918"/>
      <c r="H227" s="848"/>
      <c r="J227" s="783"/>
      <c r="K227" s="783"/>
      <c r="L227" s="783"/>
    </row>
    <row r="228" spans="1:12" ht="15" hidden="1">
      <c r="A228" s="917"/>
      <c r="B228" s="918"/>
      <c r="C228" s="918"/>
      <c r="D228" s="918"/>
      <c r="E228" s="918"/>
      <c r="F228" s="918"/>
      <c r="G228" s="918"/>
      <c r="H228" s="848"/>
      <c r="J228" s="783"/>
      <c r="K228" s="783"/>
      <c r="L228" s="783"/>
    </row>
    <row r="229" spans="1:12" ht="15" hidden="1">
      <c r="A229" s="917"/>
      <c r="B229" s="918"/>
      <c r="C229" s="918"/>
      <c r="D229" s="918"/>
      <c r="E229" s="918"/>
      <c r="F229" s="918"/>
      <c r="G229" s="918"/>
      <c r="H229" s="848"/>
      <c r="J229" s="783"/>
      <c r="K229" s="783"/>
      <c r="L229" s="783"/>
    </row>
    <row r="230" spans="1:12" ht="15" hidden="1">
      <c r="A230" s="917"/>
      <c r="B230" s="918"/>
      <c r="C230" s="918"/>
      <c r="D230" s="918"/>
      <c r="E230" s="918"/>
      <c r="F230" s="918"/>
      <c r="G230" s="918"/>
      <c r="H230" s="848"/>
      <c r="J230" s="783"/>
      <c r="K230" s="783"/>
      <c r="L230" s="783"/>
    </row>
    <row r="231" spans="1:12" ht="15" hidden="1">
      <c r="A231" s="917"/>
      <c r="B231" s="918"/>
      <c r="C231" s="918"/>
      <c r="D231" s="918"/>
      <c r="E231" s="918"/>
      <c r="F231" s="918"/>
      <c r="G231" s="918"/>
      <c r="H231" s="848"/>
      <c r="J231" s="783"/>
      <c r="K231" s="783"/>
      <c r="L231" s="783"/>
    </row>
    <row r="232" spans="1:12" ht="15" hidden="1">
      <c r="A232" s="917"/>
      <c r="B232" s="918"/>
      <c r="C232" s="918"/>
      <c r="D232" s="918"/>
      <c r="E232" s="918"/>
      <c r="F232" s="918"/>
      <c r="G232" s="918"/>
      <c r="H232" s="848"/>
      <c r="J232" s="783"/>
      <c r="K232" s="783"/>
      <c r="L232" s="783"/>
    </row>
    <row r="233" spans="1:12" ht="15" hidden="1">
      <c r="A233" s="917"/>
      <c r="B233" s="918"/>
      <c r="C233" s="918"/>
      <c r="D233" s="918"/>
      <c r="E233" s="918"/>
      <c r="F233" s="918"/>
      <c r="G233" s="918"/>
      <c r="H233" s="848"/>
      <c r="J233" s="783"/>
      <c r="K233" s="783"/>
      <c r="L233" s="783"/>
    </row>
    <row r="234" spans="1:12" ht="15" hidden="1">
      <c r="A234" s="917"/>
      <c r="B234" s="918"/>
      <c r="C234" s="918"/>
      <c r="D234" s="918"/>
      <c r="E234" s="918"/>
      <c r="F234" s="918"/>
      <c r="G234" s="918"/>
      <c r="H234" s="848"/>
      <c r="J234" s="783"/>
      <c r="K234" s="783"/>
      <c r="L234" s="783"/>
    </row>
    <row r="235" spans="1:12" ht="15" hidden="1">
      <c r="A235" s="917"/>
      <c r="B235" s="918"/>
      <c r="C235" s="918"/>
      <c r="D235" s="918"/>
      <c r="E235" s="918"/>
      <c r="F235" s="918"/>
      <c r="G235" s="918"/>
      <c r="H235" s="848"/>
      <c r="J235" s="783"/>
      <c r="K235" s="783"/>
      <c r="L235" s="783"/>
    </row>
    <row r="236" spans="1:12" ht="15" hidden="1">
      <c r="A236" s="917"/>
      <c r="B236" s="918"/>
      <c r="C236" s="918"/>
      <c r="D236" s="918"/>
      <c r="E236" s="918"/>
      <c r="F236" s="918"/>
      <c r="G236" s="918"/>
      <c r="H236" s="848"/>
      <c r="J236" s="783"/>
      <c r="K236" s="783"/>
      <c r="L236" s="783"/>
    </row>
    <row r="237" spans="1:12" ht="15" hidden="1">
      <c r="A237" s="917"/>
      <c r="B237" s="918"/>
      <c r="C237" s="918"/>
      <c r="D237" s="918"/>
      <c r="E237" s="918"/>
      <c r="F237" s="918"/>
      <c r="G237" s="918"/>
      <c r="H237" s="848"/>
      <c r="J237" s="783"/>
      <c r="K237" s="783"/>
      <c r="L237" s="783"/>
    </row>
    <row r="238" spans="1:12" ht="15" hidden="1">
      <c r="A238" s="917"/>
      <c r="B238" s="918"/>
      <c r="C238" s="918"/>
      <c r="D238" s="918"/>
      <c r="E238" s="918"/>
      <c r="F238" s="918"/>
      <c r="G238" s="918"/>
      <c r="H238" s="848"/>
      <c r="J238" s="783"/>
      <c r="K238" s="783"/>
      <c r="L238" s="783"/>
    </row>
    <row r="239" spans="1:12" ht="15" hidden="1">
      <c r="A239" s="917"/>
      <c r="B239" s="918"/>
      <c r="C239" s="918"/>
      <c r="D239" s="918"/>
      <c r="E239" s="918"/>
      <c r="F239" s="918"/>
      <c r="G239" s="918"/>
      <c r="H239" s="848"/>
      <c r="J239" s="783"/>
      <c r="K239" s="783"/>
      <c r="L239" s="783"/>
    </row>
    <row r="240" spans="1:12" ht="15" hidden="1">
      <c r="A240" s="917"/>
      <c r="B240" s="918"/>
      <c r="C240" s="918"/>
      <c r="D240" s="918"/>
      <c r="E240" s="918"/>
      <c r="F240" s="918"/>
      <c r="G240" s="918"/>
      <c r="H240" s="848"/>
      <c r="J240" s="783"/>
      <c r="K240" s="783"/>
      <c r="L240" s="783"/>
    </row>
    <row r="241" spans="1:12" ht="15" hidden="1">
      <c r="A241" s="919"/>
      <c r="B241" s="918"/>
      <c r="C241" s="918"/>
      <c r="D241" s="918"/>
      <c r="E241" s="918"/>
      <c r="F241" s="918"/>
      <c r="G241" s="918"/>
      <c r="H241" s="848"/>
      <c r="J241" s="783"/>
      <c r="K241" s="783"/>
      <c r="L241" s="783"/>
    </row>
    <row r="242" ht="15"/>
    <row r="243" ht="15"/>
    <row r="244" ht="15"/>
    <row r="245" ht="15"/>
    <row r="246" ht="15"/>
    <row r="247" ht="15"/>
  </sheetData>
  <sheetProtection password="EA98" sheet="1" formatColumns="0" selectLockedCells="1"/>
  <mergeCells count="29">
    <mergeCell ref="B56:E56"/>
    <mergeCell ref="B67:E67"/>
    <mergeCell ref="B69:E69"/>
    <mergeCell ref="B71:E71"/>
    <mergeCell ref="B73:E73"/>
    <mergeCell ref="B76:F76"/>
    <mergeCell ref="B59:D59"/>
    <mergeCell ref="B13:D13"/>
    <mergeCell ref="B17:D17"/>
    <mergeCell ref="B20:F20"/>
    <mergeCell ref="B22:F22"/>
    <mergeCell ref="B24:F24"/>
    <mergeCell ref="B26:F26"/>
    <mergeCell ref="B15:D15"/>
    <mergeCell ref="J189:L195"/>
    <mergeCell ref="E132:F132"/>
    <mergeCell ref="A204:G209"/>
    <mergeCell ref="G175:G178"/>
    <mergeCell ref="G171:G172"/>
    <mergeCell ref="G182:G183"/>
    <mergeCell ref="B170:E170"/>
    <mergeCell ref="B181:E181"/>
    <mergeCell ref="B104:F104"/>
    <mergeCell ref="E131:F131"/>
    <mergeCell ref="J104:L105"/>
    <mergeCell ref="J140:L141"/>
    <mergeCell ref="J69:L75"/>
    <mergeCell ref="B78:F78"/>
    <mergeCell ref="B80:F80"/>
  </mergeCells>
  <dataValidations count="7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">
      <formula1>1990</formula1>
      <formula2>2020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8 G199 G80 G76 G197 G195 F175:F178 G189 G191 G193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  <dataValidation type="whole" allowBlank="1" showInputMessage="1" showErrorMessage="1" errorTitle="ERRORE" error="INSERIRE UN ANNO VALIDO" sqref="G13 G15 G17">
      <formula1>1990</formula1>
      <formula2>2020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scale="55" r:id="rId2"/>
  <rowBreaks count="1" manualBreakCount="1">
    <brk id="64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2"/>
  <sheetViews>
    <sheetView showGridLines="0" zoomScale="75" zoomScaleNormal="75" zoomScalePageLayoutView="0" workbookViewId="0" topLeftCell="A1">
      <selection activeCell="E17" sqref="E17"/>
    </sheetView>
  </sheetViews>
  <sheetFormatPr defaultColWidth="0" defaultRowHeight="10.5" zeroHeight="1"/>
  <cols>
    <col min="1" max="1" width="7.83203125" style="1013" customWidth="1"/>
    <col min="2" max="7" width="28.83203125" style="798" customWidth="1"/>
    <col min="8" max="8" width="6.83203125" style="1076" hidden="1" customWidth="1"/>
    <col min="9" max="9" width="9.5" style="1066" hidden="1" customWidth="1"/>
    <col min="10" max="12" width="13" style="784" customWidth="1"/>
    <col min="13" max="16384" width="0" style="784" hidden="1" customWidth="1"/>
  </cols>
  <sheetData>
    <row r="1" spans="1:8" ht="45" customHeight="1">
      <c r="A1" s="920"/>
      <c r="B1" s="780"/>
      <c r="C1" s="780"/>
      <c r="D1" s="921" t="s">
        <v>488</v>
      </c>
      <c r="E1" s="780"/>
      <c r="F1" s="780"/>
      <c r="G1" s="782"/>
      <c r="H1" s="1071" t="s">
        <v>343</v>
      </c>
    </row>
    <row r="2" spans="1:8" ht="23.25">
      <c r="A2" s="922"/>
      <c r="B2" s="786"/>
      <c r="C2" s="923" t="s">
        <v>489</v>
      </c>
      <c r="D2" s="786"/>
      <c r="E2" s="786"/>
      <c r="F2" s="786"/>
      <c r="G2" s="788"/>
      <c r="H2" s="1071"/>
    </row>
    <row r="3" spans="1:8" ht="41.25" customHeight="1">
      <c r="A3" s="922"/>
      <c r="B3" s="924" t="s">
        <v>490</v>
      </c>
      <c r="C3" s="790"/>
      <c r="D3" s="786"/>
      <c r="E3" s="786"/>
      <c r="F3" s="786"/>
      <c r="G3" s="788"/>
      <c r="H3" s="1071"/>
    </row>
    <row r="4" spans="1:9" s="796" customFormat="1" ht="45" customHeight="1">
      <c r="A4" s="925"/>
      <c r="B4" s="926" t="s">
        <v>491</v>
      </c>
      <c r="C4" s="927"/>
      <c r="D4" s="794"/>
      <c r="E4" s="794"/>
      <c r="F4" s="794"/>
      <c r="G4" s="795"/>
      <c r="H4" s="1072"/>
      <c r="I4" s="1123"/>
    </row>
    <row r="5" spans="1:8" ht="16.5" customHeight="1">
      <c r="A5" s="928"/>
      <c r="H5" s="1071"/>
    </row>
    <row r="6" spans="1:8" ht="20.25">
      <c r="A6" s="784"/>
      <c r="B6" s="800" t="s">
        <v>507</v>
      </c>
      <c r="C6" s="784"/>
      <c r="D6" s="784"/>
      <c r="E6" s="784"/>
      <c r="F6" s="784"/>
      <c r="H6" s="1071"/>
    </row>
    <row r="7" spans="1:9" s="803" customFormat="1" ht="20.25">
      <c r="A7" s="929"/>
      <c r="B7" s="801"/>
      <c r="C7" s="802" t="str">
        <f>'t1'!A1</f>
        <v>COMPARTO REGIONI ED AUTONOMIE LOCALI</v>
      </c>
      <c r="E7" s="804"/>
      <c r="F7" s="805"/>
      <c r="G7" s="801"/>
      <c r="H7" s="1074"/>
      <c r="I7" s="1066"/>
    </row>
    <row r="8" spans="1:9" s="803" customFormat="1" ht="11.25" customHeight="1">
      <c r="A8" s="929"/>
      <c r="B8" s="801"/>
      <c r="C8" s="801"/>
      <c r="D8" s="806"/>
      <c r="F8" s="801"/>
      <c r="G8" s="801"/>
      <c r="H8" s="1074"/>
      <c r="I8" s="1066"/>
    </row>
    <row r="9" spans="1:9" s="803" customFormat="1" ht="39">
      <c r="A9" s="807"/>
      <c r="B9" s="801"/>
      <c r="C9" s="808" t="s">
        <v>303</v>
      </c>
      <c r="D9" s="808"/>
      <c r="E9" s="1201" t="s">
        <v>849</v>
      </c>
      <c r="F9" s="810" t="s">
        <v>112</v>
      </c>
      <c r="G9" s="801"/>
      <c r="H9" s="1074"/>
      <c r="I9" s="1066"/>
    </row>
    <row r="10" spans="1:9" s="803" customFormat="1" ht="30.75" customHeight="1">
      <c r="A10" s="807"/>
      <c r="B10" s="801"/>
      <c r="C10" s="801"/>
      <c r="D10" s="811"/>
      <c r="E10" s="804"/>
      <c r="F10" s="804"/>
      <c r="G10" s="801"/>
      <c r="H10" s="1074"/>
      <c r="I10" s="1066"/>
    </row>
    <row r="11" spans="1:7" ht="15">
      <c r="A11" s="807"/>
      <c r="B11" s="812" t="s">
        <v>493</v>
      </c>
      <c r="C11" s="813"/>
      <c r="D11" s="813"/>
      <c r="E11" s="813"/>
      <c r="F11" s="813"/>
      <c r="G11" s="813"/>
    </row>
    <row r="12" spans="1:7" ht="18" customHeight="1">
      <c r="A12" s="814"/>
      <c r="B12" s="815"/>
      <c r="C12" s="816"/>
      <c r="D12" s="816"/>
      <c r="E12" s="817" t="s">
        <v>443</v>
      </c>
      <c r="F12" s="818" t="s">
        <v>444</v>
      </c>
      <c r="G12" s="819" t="s">
        <v>445</v>
      </c>
    </row>
    <row r="13" spans="1:9" s="822" customFormat="1" ht="30" customHeight="1">
      <c r="A13" s="820"/>
      <c r="B13" s="1356" t="s">
        <v>850</v>
      </c>
      <c r="C13" s="1356"/>
      <c r="D13" s="1357"/>
      <c r="E13" s="1209">
        <v>29</v>
      </c>
      <c r="F13" s="1209">
        <v>6</v>
      </c>
      <c r="G13" s="1209">
        <v>2009</v>
      </c>
      <c r="H13" s="1077"/>
      <c r="I13" s="1124"/>
    </row>
    <row r="14" spans="1:9" s="822" customFormat="1" ht="9" customHeight="1">
      <c r="A14" s="820"/>
      <c r="B14" s="823"/>
      <c r="C14" s="823"/>
      <c r="D14" s="823"/>
      <c r="E14" s="823"/>
      <c r="F14" s="823"/>
      <c r="G14" s="824"/>
      <c r="H14" s="1077"/>
      <c r="I14" s="1124"/>
    </row>
    <row r="15" spans="1:9" s="822" customFormat="1" ht="30" customHeight="1">
      <c r="A15" s="820"/>
      <c r="B15" s="1337" t="s">
        <v>851</v>
      </c>
      <c r="C15" s="1337"/>
      <c r="D15" s="1338"/>
      <c r="E15" s="859">
        <v>13</v>
      </c>
      <c r="F15" s="859">
        <v>10</v>
      </c>
      <c r="G15" s="859">
        <v>2009</v>
      </c>
      <c r="H15" s="1077"/>
      <c r="I15" s="1124"/>
    </row>
    <row r="16" spans="1:9" s="822" customFormat="1" ht="9" customHeight="1">
      <c r="A16" s="820"/>
      <c r="B16" s="826"/>
      <c r="C16" s="825"/>
      <c r="D16" s="825"/>
      <c r="E16" s="823"/>
      <c r="F16" s="823"/>
      <c r="G16" s="824"/>
      <c r="H16" s="1077"/>
      <c r="I16" s="1124"/>
    </row>
    <row r="17" spans="1:9" s="822" customFormat="1" ht="30" customHeight="1">
      <c r="A17" s="820"/>
      <c r="B17" s="1337" t="s">
        <v>852</v>
      </c>
      <c r="C17" s="1337"/>
      <c r="D17" s="1338"/>
      <c r="E17" s="859">
        <v>5</v>
      </c>
      <c r="F17" s="859">
        <v>11</v>
      </c>
      <c r="G17" s="859">
        <v>2009</v>
      </c>
      <c r="H17" s="1077"/>
      <c r="I17" s="1124"/>
    </row>
    <row r="18" spans="1:9" s="822" customFormat="1" ht="9" customHeight="1">
      <c r="A18" s="820"/>
      <c r="B18" s="826"/>
      <c r="C18" s="825"/>
      <c r="D18" s="825"/>
      <c r="E18" s="944"/>
      <c r="F18" s="823"/>
      <c r="G18" s="824"/>
      <c r="H18" s="1077"/>
      <c r="I18" s="1124"/>
    </row>
    <row r="19" spans="1:7" ht="18" customHeight="1">
      <c r="A19" s="820"/>
      <c r="B19" s="828"/>
      <c r="C19" s="828"/>
      <c r="D19" s="826"/>
      <c r="E19" s="945"/>
      <c r="F19" s="829"/>
      <c r="G19" s="830" t="s">
        <v>305</v>
      </c>
    </row>
    <row r="20" spans="1:9" s="822" customFormat="1" ht="30" customHeight="1">
      <c r="A20" s="833">
        <v>1</v>
      </c>
      <c r="B20" s="1337" t="s">
        <v>853</v>
      </c>
      <c r="C20" s="1337"/>
      <c r="D20" s="1337"/>
      <c r="E20" s="1337"/>
      <c r="F20" s="1338"/>
      <c r="G20" s="897">
        <v>2009</v>
      </c>
      <c r="H20" s="1077"/>
      <c r="I20" s="1124"/>
    </row>
    <row r="21" spans="1:9" s="822" customFormat="1" ht="9" customHeight="1">
      <c r="A21" s="833"/>
      <c r="B21" s="825"/>
      <c r="C21" s="825"/>
      <c r="D21" s="825"/>
      <c r="E21" s="825"/>
      <c r="F21" s="831"/>
      <c r="G21" s="834"/>
      <c r="H21" s="1077"/>
      <c r="I21" s="1124"/>
    </row>
    <row r="22" spans="1:9" s="822" customFormat="1" ht="30" customHeight="1">
      <c r="A22" s="833">
        <v>2</v>
      </c>
      <c r="B22" s="1337" t="s">
        <v>858</v>
      </c>
      <c r="C22" s="1337"/>
      <c r="D22" s="1337"/>
      <c r="E22" s="1337"/>
      <c r="F22" s="1338"/>
      <c r="G22" s="897">
        <v>0</v>
      </c>
      <c r="H22" s="1077"/>
      <c r="I22" s="1124"/>
    </row>
    <row r="23" spans="1:9" s="822" customFormat="1" ht="9" customHeight="1">
      <c r="A23" s="820"/>
      <c r="B23" s="825"/>
      <c r="C23" s="825"/>
      <c r="D23" s="825"/>
      <c r="E23" s="825"/>
      <c r="F23" s="831"/>
      <c r="G23" s="834"/>
      <c r="H23" s="1077"/>
      <c r="I23" s="1124"/>
    </row>
    <row r="24" spans="1:9" s="822" customFormat="1" ht="30" customHeight="1">
      <c r="A24" s="833">
        <v>3</v>
      </c>
      <c r="B24" s="1337" t="s">
        <v>859</v>
      </c>
      <c r="C24" s="1337"/>
      <c r="D24" s="1337"/>
      <c r="E24" s="1337"/>
      <c r="F24" s="1338"/>
      <c r="G24" s="1210">
        <v>441623</v>
      </c>
      <c r="H24" s="1077"/>
      <c r="I24" s="1124"/>
    </row>
    <row r="25" spans="1:9" s="822" customFormat="1" ht="9" customHeight="1">
      <c r="A25" s="820"/>
      <c r="B25" s="826"/>
      <c r="C25" s="825"/>
      <c r="D25" s="825"/>
      <c r="E25" s="825"/>
      <c r="F25" s="835"/>
      <c r="G25" s="824"/>
      <c r="H25" s="1077"/>
      <c r="I25" s="1124"/>
    </row>
    <row r="26" spans="1:9" s="822" customFormat="1" ht="30" customHeight="1">
      <c r="A26" s="833">
        <v>4</v>
      </c>
      <c r="B26" s="1358" t="s">
        <v>855</v>
      </c>
      <c r="C26" s="1358"/>
      <c r="D26" s="1358"/>
      <c r="E26" s="1358"/>
      <c r="F26" s="1359"/>
      <c r="G26" s="1210"/>
      <c r="H26" s="1077"/>
      <c r="I26" s="1124"/>
    </row>
    <row r="27" spans="1:9" s="822" customFormat="1" ht="9" customHeight="1">
      <c r="A27" s="820"/>
      <c r="B27" s="826"/>
      <c r="C27" s="825"/>
      <c r="D27" s="825"/>
      <c r="E27" s="825"/>
      <c r="F27" s="835"/>
      <c r="G27" s="824"/>
      <c r="H27" s="1077"/>
      <c r="I27" s="1124"/>
    </row>
    <row r="28" spans="1:9" s="822" customFormat="1" ht="20.25" customHeight="1">
      <c r="A28" s="833">
        <v>5</v>
      </c>
      <c r="B28" s="1215" t="s">
        <v>494</v>
      </c>
      <c r="C28" s="1018"/>
      <c r="D28" s="1018"/>
      <c r="E28" s="1018"/>
      <c r="F28" s="1019"/>
      <c r="G28" s="905"/>
      <c r="H28" s="1077"/>
      <c r="I28" s="1124"/>
    </row>
    <row r="29" spans="1:9" s="822" customFormat="1" ht="9" customHeight="1">
      <c r="A29" s="820"/>
      <c r="B29" s="826"/>
      <c r="C29" s="825"/>
      <c r="D29" s="825"/>
      <c r="E29" s="825"/>
      <c r="F29" s="835"/>
      <c r="G29" s="824"/>
      <c r="H29" s="1077"/>
      <c r="I29" s="1124"/>
    </row>
    <row r="30" spans="1:9" s="822" customFormat="1" ht="20.25" customHeight="1">
      <c r="A30" s="833">
        <v>6</v>
      </c>
      <c r="B30" s="1215" t="s">
        <v>494</v>
      </c>
      <c r="C30" s="1018"/>
      <c r="D30" s="1018"/>
      <c r="E30" s="1018"/>
      <c r="F30" s="1019"/>
      <c r="G30" s="905"/>
      <c r="H30" s="1077"/>
      <c r="I30" s="1124"/>
    </row>
    <row r="31" spans="1:9" s="822" customFormat="1" ht="9" customHeight="1">
      <c r="A31" s="820"/>
      <c r="B31" s="931"/>
      <c r="C31" s="825"/>
      <c r="D31" s="825"/>
      <c r="E31" s="825"/>
      <c r="F31" s="835"/>
      <c r="G31" s="838"/>
      <c r="H31" s="1077"/>
      <c r="I31" s="1124"/>
    </row>
    <row r="32" spans="1:9" s="822" customFormat="1" ht="20.25" customHeight="1">
      <c r="A32" s="833">
        <v>7</v>
      </c>
      <c r="B32" s="828" t="s">
        <v>494</v>
      </c>
      <c r="C32" s="1018"/>
      <c r="D32" s="1018"/>
      <c r="E32" s="1018"/>
      <c r="F32" s="835"/>
      <c r="G32" s="905"/>
      <c r="H32" s="1077"/>
      <c r="I32" s="1124"/>
    </row>
    <row r="33" spans="1:9" s="822" customFormat="1" ht="9" customHeight="1">
      <c r="A33" s="820"/>
      <c r="B33" s="931"/>
      <c r="C33" s="825"/>
      <c r="D33" s="825"/>
      <c r="E33" s="825"/>
      <c r="F33" s="835"/>
      <c r="G33" s="839"/>
      <c r="H33" s="1077"/>
      <c r="I33" s="1124"/>
    </row>
    <row r="34" spans="1:9" s="822" customFormat="1" ht="20.25" customHeight="1">
      <c r="A34" s="833">
        <v>8</v>
      </c>
      <c r="B34" s="828" t="s">
        <v>494</v>
      </c>
      <c r="C34" s="825"/>
      <c r="D34" s="825"/>
      <c r="E34" s="825"/>
      <c r="F34" s="835"/>
      <c r="G34" s="905"/>
      <c r="H34" s="1077"/>
      <c r="I34" s="1124"/>
    </row>
    <row r="35" spans="1:9" s="822" customFormat="1" ht="9" customHeight="1">
      <c r="A35" s="1053"/>
      <c r="B35" s="932"/>
      <c r="C35" s="932"/>
      <c r="D35" s="932"/>
      <c r="E35" s="932"/>
      <c r="F35" s="933"/>
      <c r="G35" s="842"/>
      <c r="H35" s="1077"/>
      <c r="I35" s="1124"/>
    </row>
    <row r="36" spans="1:9" s="822" customFormat="1" ht="18" customHeight="1">
      <c r="A36" s="837"/>
      <c r="B36" s="843"/>
      <c r="C36" s="843"/>
      <c r="D36" s="843"/>
      <c r="E36" s="843"/>
      <c r="F36" s="831"/>
      <c r="G36" s="831"/>
      <c r="H36" s="1077"/>
      <c r="I36" s="1124"/>
    </row>
    <row r="37" spans="1:7" ht="18" customHeight="1">
      <c r="A37" s="797"/>
      <c r="B37" s="812" t="s">
        <v>553</v>
      </c>
      <c r="C37" s="813"/>
      <c r="D37" s="813"/>
      <c r="E37" s="813"/>
      <c r="F37" s="813"/>
      <c r="G37" s="813"/>
    </row>
    <row r="38" spans="1:7" ht="18" customHeight="1">
      <c r="A38" s="814"/>
      <c r="B38" s="1014"/>
      <c r="C38" s="1015"/>
      <c r="D38" s="1015"/>
      <c r="E38" s="1015"/>
      <c r="F38" s="1015"/>
      <c r="G38" s="830" t="s">
        <v>305</v>
      </c>
    </row>
    <row r="39" spans="1:7" ht="30" customHeight="1">
      <c r="A39" s="833">
        <v>9</v>
      </c>
      <c r="B39" s="1337" t="s">
        <v>542</v>
      </c>
      <c r="C39" s="1337"/>
      <c r="D39" s="1337"/>
      <c r="E39" s="1337"/>
      <c r="F39" s="1338"/>
      <c r="G39" s="897">
        <v>500318</v>
      </c>
    </row>
    <row r="40" spans="1:7" ht="9" customHeight="1">
      <c r="A40" s="833"/>
      <c r="B40" s="1017"/>
      <c r="C40" s="862"/>
      <c r="D40" s="862"/>
      <c r="E40" s="862"/>
      <c r="F40" s="862"/>
      <c r="G40" s="834"/>
    </row>
    <row r="41" spans="1:7" ht="30" customHeight="1">
      <c r="A41" s="833">
        <v>10</v>
      </c>
      <c r="B41" s="1337" t="s">
        <v>543</v>
      </c>
      <c r="C41" s="1337"/>
      <c r="D41" s="1337"/>
      <c r="E41" s="1337"/>
      <c r="F41" s="1338"/>
      <c r="G41" s="897">
        <v>0</v>
      </c>
    </row>
    <row r="42" spans="1:7" ht="9" customHeight="1">
      <c r="A42" s="833"/>
      <c r="B42" s="1017"/>
      <c r="C42" s="862"/>
      <c r="D42" s="862"/>
      <c r="E42" s="862"/>
      <c r="F42" s="862"/>
      <c r="G42" s="863"/>
    </row>
    <row r="43" spans="1:7" ht="20.25" customHeight="1">
      <c r="A43" s="833">
        <v>11</v>
      </c>
      <c r="B43" s="828" t="s">
        <v>494</v>
      </c>
      <c r="C43" s="862"/>
      <c r="D43" s="862"/>
      <c r="E43" s="862"/>
      <c r="F43" s="862"/>
      <c r="G43" s="905"/>
    </row>
    <row r="44" spans="1:7" ht="9" customHeight="1">
      <c r="A44" s="833"/>
      <c r="B44" s="1017"/>
      <c r="C44" s="862"/>
      <c r="D44" s="862"/>
      <c r="E44" s="862"/>
      <c r="F44" s="862"/>
      <c r="G44" s="863"/>
    </row>
    <row r="45" spans="1:7" ht="20.25" customHeight="1">
      <c r="A45" s="833">
        <v>12</v>
      </c>
      <c r="B45" s="828" t="s">
        <v>494</v>
      </c>
      <c r="C45" s="862"/>
      <c r="D45" s="862"/>
      <c r="E45" s="862"/>
      <c r="F45" s="862"/>
      <c r="G45" s="905"/>
    </row>
    <row r="46" spans="1:7" ht="9" customHeight="1">
      <c r="A46" s="833"/>
      <c r="B46" s="1017"/>
      <c r="C46" s="862"/>
      <c r="D46" s="862"/>
      <c r="E46" s="862"/>
      <c r="F46" s="862"/>
      <c r="G46" s="1016"/>
    </row>
    <row r="47" spans="1:7" ht="18" customHeight="1">
      <c r="A47" s="833"/>
      <c r="B47" s="860"/>
      <c r="C47" s="860"/>
      <c r="D47" s="861"/>
      <c r="E47" s="861"/>
      <c r="F47" s="845" t="s">
        <v>298</v>
      </c>
      <c r="G47" s="846" t="s">
        <v>299</v>
      </c>
    </row>
    <row r="48" spans="1:9" s="822" customFormat="1" ht="30" customHeight="1">
      <c r="A48" s="833">
        <v>13</v>
      </c>
      <c r="B48" s="1337" t="s">
        <v>874</v>
      </c>
      <c r="C48" s="1337"/>
      <c r="D48" s="1337"/>
      <c r="E48" s="1338"/>
      <c r="F48" s="1164"/>
      <c r="G48" s="1164"/>
      <c r="H48" s="1076">
        <v>1</v>
      </c>
      <c r="I48" s="1066" t="str">
        <f>IF(H48=1,"VERO",IF(H48=2,"FALSO",""))</f>
        <v>VERO</v>
      </c>
    </row>
    <row r="49" spans="1:9" s="822" customFormat="1" ht="9" customHeight="1">
      <c r="A49" s="820"/>
      <c r="B49" s="825"/>
      <c r="C49" s="825"/>
      <c r="D49" s="825"/>
      <c r="E49" s="821"/>
      <c r="F49" s="821"/>
      <c r="G49" s="851"/>
      <c r="H49" s="1076"/>
      <c r="I49" s="1066"/>
    </row>
    <row r="50" spans="1:9" s="822" customFormat="1" ht="20.25" customHeight="1">
      <c r="A50" s="833">
        <v>14</v>
      </c>
      <c r="B50" s="1381" t="s">
        <v>646</v>
      </c>
      <c r="C50" s="1381"/>
      <c r="D50" s="1381"/>
      <c r="E50" s="1382"/>
      <c r="F50" s="1164"/>
      <c r="G50" s="1164"/>
      <c r="H50" s="1076">
        <v>0</v>
      </c>
      <c r="I50" s="1066">
        <f>IF(H50=1,"VERO",IF(H50=2,"FALSO",""))</f>
      </c>
    </row>
    <row r="51" spans="1:9" s="822" customFormat="1" ht="9" customHeight="1">
      <c r="A51" s="820"/>
      <c r="B51" s="825"/>
      <c r="C51" s="825"/>
      <c r="D51" s="825"/>
      <c r="E51" s="835"/>
      <c r="F51" s="853"/>
      <c r="G51" s="854"/>
      <c r="H51" s="1076"/>
      <c r="I51" s="1066"/>
    </row>
    <row r="52" spans="1:9" s="822" customFormat="1" ht="20.25" customHeight="1">
      <c r="A52" s="833">
        <v>15</v>
      </c>
      <c r="B52" s="1381" t="s">
        <v>647</v>
      </c>
      <c r="C52" s="1381"/>
      <c r="D52" s="1381"/>
      <c r="E52" s="1382"/>
      <c r="F52" s="1164"/>
      <c r="G52" s="1164"/>
      <c r="H52" s="1076">
        <v>1</v>
      </c>
      <c r="I52" s="1066" t="str">
        <f>IF(H52=1,"VERO",IF(H52=2,"FALSO",""))</f>
        <v>VERO</v>
      </c>
    </row>
    <row r="53" spans="1:9" s="822" customFormat="1" ht="9" customHeight="1">
      <c r="A53" s="820"/>
      <c r="B53" s="825"/>
      <c r="C53" s="825"/>
      <c r="D53" s="825"/>
      <c r="E53" s="835"/>
      <c r="F53" s="853"/>
      <c r="G53" s="854"/>
      <c r="H53" s="1076"/>
      <c r="I53" s="1066"/>
    </row>
    <row r="54" spans="1:9" s="822" customFormat="1" ht="20.25" customHeight="1">
      <c r="A54" s="833">
        <v>16</v>
      </c>
      <c r="B54" s="1381" t="s">
        <v>648</v>
      </c>
      <c r="C54" s="1381"/>
      <c r="D54" s="1381"/>
      <c r="E54" s="1382"/>
      <c r="F54" s="1164"/>
      <c r="G54" s="1164"/>
      <c r="H54" s="1076">
        <v>0</v>
      </c>
      <c r="I54" s="1066">
        <f>IF(H54=1,"VERO",IF(H54=2,"FALSO",""))</f>
      </c>
    </row>
    <row r="55" spans="1:9" s="822" customFormat="1" ht="9" customHeight="1">
      <c r="A55" s="820"/>
      <c r="B55" s="826"/>
      <c r="C55" s="835"/>
      <c r="D55" s="835"/>
      <c r="E55" s="835"/>
      <c r="F55" s="831"/>
      <c r="G55" s="834"/>
      <c r="H55" s="1077"/>
      <c r="I55" s="1124"/>
    </row>
    <row r="56" spans="1:7" ht="20.25" customHeight="1">
      <c r="A56" s="833">
        <v>17</v>
      </c>
      <c r="B56" s="1387" t="s">
        <v>554</v>
      </c>
      <c r="C56" s="1387"/>
      <c r="D56" s="1387"/>
      <c r="E56" s="1388"/>
      <c r="F56" s="845" t="s">
        <v>495</v>
      </c>
      <c r="G56" s="846" t="s">
        <v>496</v>
      </c>
    </row>
    <row r="57" spans="1:7" ht="30" customHeight="1">
      <c r="A57" s="833"/>
      <c r="B57" s="861"/>
      <c r="C57" s="861"/>
      <c r="D57" s="861"/>
      <c r="E57" s="858"/>
      <c r="F57" s="859">
        <v>31</v>
      </c>
      <c r="G57" s="859">
        <v>12911</v>
      </c>
    </row>
    <row r="58" spans="1:7" ht="9" customHeight="1">
      <c r="A58" s="833"/>
      <c r="B58" s="856"/>
      <c r="C58" s="860"/>
      <c r="D58" s="861"/>
      <c r="E58" s="861"/>
      <c r="F58" s="862"/>
      <c r="G58" s="863"/>
    </row>
    <row r="59" spans="1:7" ht="30" customHeight="1">
      <c r="A59" s="833"/>
      <c r="B59" s="935"/>
      <c r="C59" s="935"/>
      <c r="D59" s="935"/>
      <c r="E59" s="861"/>
      <c r="F59" s="859"/>
      <c r="G59" s="859"/>
    </row>
    <row r="60" spans="1:7" ht="9" customHeight="1">
      <c r="A60" s="833"/>
      <c r="B60" s="856"/>
      <c r="C60" s="860"/>
      <c r="D60" s="861"/>
      <c r="E60" s="855"/>
      <c r="F60" s="862"/>
      <c r="G60" s="864"/>
    </row>
    <row r="61" spans="1:7" ht="30" customHeight="1">
      <c r="A61" s="833"/>
      <c r="B61" s="856"/>
      <c r="C61" s="860"/>
      <c r="D61" s="861"/>
      <c r="E61" s="855"/>
      <c r="F61" s="859"/>
      <c r="G61" s="859"/>
    </row>
    <row r="62" spans="1:7" ht="9" customHeight="1">
      <c r="A62" s="833"/>
      <c r="B62" s="856"/>
      <c r="C62" s="860"/>
      <c r="D62" s="861"/>
      <c r="E62" s="861"/>
      <c r="F62" s="862"/>
      <c r="G62" s="863"/>
    </row>
    <row r="63" spans="1:7" ht="30" customHeight="1">
      <c r="A63" s="865"/>
      <c r="B63" s="866"/>
      <c r="C63" s="867"/>
      <c r="D63" s="868"/>
      <c r="E63" s="868"/>
      <c r="F63" s="859"/>
      <c r="G63" s="859"/>
    </row>
    <row r="64" spans="1:7" ht="18" customHeight="1" hidden="1">
      <c r="A64" s="807"/>
      <c r="B64" s="855"/>
      <c r="C64" s="860"/>
      <c r="D64" s="861"/>
      <c r="E64" s="861"/>
      <c r="F64" s="829"/>
      <c r="G64" s="829"/>
    </row>
    <row r="65" spans="1:9" s="822" customFormat="1" ht="18" customHeight="1" hidden="1">
      <c r="A65" s="797"/>
      <c r="B65" s="869" t="s">
        <v>497</v>
      </c>
      <c r="C65" s="870"/>
      <c r="D65" s="798"/>
      <c r="E65" s="798"/>
      <c r="F65" s="813"/>
      <c r="G65" s="813"/>
      <c r="H65" s="1077"/>
      <c r="I65" s="1124"/>
    </row>
    <row r="66" spans="1:9" s="822" customFormat="1" ht="18" customHeight="1" hidden="1">
      <c r="A66" s="814"/>
      <c r="B66" s="844"/>
      <c r="C66" s="844"/>
      <c r="D66" s="816"/>
      <c r="E66" s="816"/>
      <c r="F66" s="845" t="s">
        <v>298</v>
      </c>
      <c r="G66" s="846" t="s">
        <v>299</v>
      </c>
      <c r="H66" s="1077"/>
      <c r="I66" s="1124"/>
    </row>
    <row r="67" spans="1:9" s="872" customFormat="1" ht="19.5" customHeight="1" hidden="1">
      <c r="A67" s="820">
        <v>18</v>
      </c>
      <c r="B67" s="825" t="s">
        <v>498</v>
      </c>
      <c r="C67" s="825"/>
      <c r="D67" s="825"/>
      <c r="E67" s="871"/>
      <c r="F67" s="847"/>
      <c r="G67" s="847"/>
      <c r="H67" s="1079">
        <v>0</v>
      </c>
      <c r="I67" s="1066">
        <f>IF(H67=1,"VERO",IF(H67=2,"FALSO",""))</f>
      </c>
    </row>
    <row r="68" spans="1:9" s="872" customFormat="1" ht="18" customHeight="1" hidden="1">
      <c r="A68" s="820"/>
      <c r="B68" s="826" t="s">
        <v>499</v>
      </c>
      <c r="C68" s="828"/>
      <c r="D68" s="828"/>
      <c r="E68" s="835"/>
      <c r="F68" s="831"/>
      <c r="G68" s="834"/>
      <c r="H68" s="1079"/>
      <c r="I68" s="1125"/>
    </row>
    <row r="69" spans="1:9" s="872" customFormat="1" ht="19.5" customHeight="1" hidden="1">
      <c r="A69" s="820">
        <v>19</v>
      </c>
      <c r="B69" s="826" t="s">
        <v>494</v>
      </c>
      <c r="C69" s="1051"/>
      <c r="D69" s="1051"/>
      <c r="E69" s="828"/>
      <c r="F69" s="827"/>
      <c r="G69" s="827"/>
      <c r="H69" s="1079"/>
      <c r="I69" s="1066">
        <f>IF(H69=1,"VERO",IF(H69=2,"FALSO",""))</f>
      </c>
    </row>
    <row r="70" spans="1:9" s="874" customFormat="1" ht="18" customHeight="1" hidden="1">
      <c r="A70" s="833"/>
      <c r="E70" s="828"/>
      <c r="F70" s="829"/>
      <c r="G70" s="873"/>
      <c r="H70" s="1081"/>
      <c r="I70" s="1126"/>
    </row>
    <row r="71" spans="1:9" s="874" customFormat="1" ht="19.5" customHeight="1" hidden="1">
      <c r="A71" s="833">
        <v>20</v>
      </c>
      <c r="B71" s="826" t="s">
        <v>494</v>
      </c>
      <c r="C71" s="828"/>
      <c r="D71" s="828"/>
      <c r="E71" s="828"/>
      <c r="F71" s="827"/>
      <c r="G71" s="827"/>
      <c r="H71" s="1081"/>
      <c r="I71" s="1066">
        <f>IF(H71=1,"VERO",IF(H71=2,"FALSO",""))</f>
      </c>
    </row>
    <row r="72" spans="1:9" s="874" customFormat="1" ht="18" customHeight="1" hidden="1">
      <c r="A72" s="833"/>
      <c r="B72" s="826"/>
      <c r="C72" s="828"/>
      <c r="D72" s="828"/>
      <c r="E72" s="828"/>
      <c r="F72" s="829"/>
      <c r="G72" s="873"/>
      <c r="H72" s="1081"/>
      <c r="I72" s="1126"/>
    </row>
    <row r="73" spans="1:9" s="874" customFormat="1" ht="19.5" customHeight="1" hidden="1">
      <c r="A73" s="833">
        <v>21</v>
      </c>
      <c r="B73" s="826" t="s">
        <v>494</v>
      </c>
      <c r="C73" s="828"/>
      <c r="D73" s="828"/>
      <c r="E73" s="828"/>
      <c r="F73" s="827"/>
      <c r="G73" s="827"/>
      <c r="H73" s="1081"/>
      <c r="I73" s="1066">
        <f>IF(H73=1,"VERO",IF(H73=2,"FALSO",""))</f>
      </c>
    </row>
    <row r="74" spans="1:9" s="874" customFormat="1" ht="18" customHeight="1" hidden="1">
      <c r="A74" s="833"/>
      <c r="B74" s="826"/>
      <c r="C74" s="828"/>
      <c r="D74" s="828"/>
      <c r="E74" s="828"/>
      <c r="F74" s="829"/>
      <c r="G74" s="873"/>
      <c r="H74" s="1081"/>
      <c r="I74" s="1126"/>
    </row>
    <row r="75" spans="1:9" s="874" customFormat="1" ht="18" customHeight="1" hidden="1">
      <c r="A75" s="820"/>
      <c r="B75" s="828"/>
      <c r="C75" s="828"/>
      <c r="D75" s="826"/>
      <c r="E75" s="825"/>
      <c r="F75" s="829"/>
      <c r="G75" s="830" t="s">
        <v>305</v>
      </c>
      <c r="H75" s="1081"/>
      <c r="I75" s="1126"/>
    </row>
    <row r="76" spans="1:9" s="874" customFormat="1" ht="18" customHeight="1" hidden="1">
      <c r="A76" s="820">
        <v>22</v>
      </c>
      <c r="B76" s="825" t="s">
        <v>500</v>
      </c>
      <c r="C76" s="825"/>
      <c r="D76" s="825"/>
      <c r="E76" s="825"/>
      <c r="F76" s="836"/>
      <c r="G76" s="832"/>
      <c r="H76" s="1081"/>
      <c r="I76" s="1126"/>
    </row>
    <row r="77" spans="1:9" s="874" customFormat="1" ht="18" customHeight="1" hidden="1">
      <c r="A77" s="820"/>
      <c r="B77" s="825"/>
      <c r="C77" s="825"/>
      <c r="D77" s="825"/>
      <c r="E77" s="825"/>
      <c r="F77" s="875"/>
      <c r="G77" s="834"/>
      <c r="H77" s="1081"/>
      <c r="I77" s="1126"/>
    </row>
    <row r="78" spans="1:9" s="874" customFormat="1" ht="18" customHeight="1" hidden="1">
      <c r="A78" s="820">
        <v>23</v>
      </c>
      <c r="B78" s="825" t="s">
        <v>501</v>
      </c>
      <c r="C78" s="825"/>
      <c r="D78" s="825"/>
      <c r="E78" s="825"/>
      <c r="F78" s="836"/>
      <c r="G78" s="832"/>
      <c r="H78" s="1081"/>
      <c r="I78" s="1066"/>
    </row>
    <row r="79" spans="1:9" s="855" customFormat="1" ht="18" customHeight="1" hidden="1">
      <c r="A79" s="820"/>
      <c r="B79" s="825"/>
      <c r="C79" s="825"/>
      <c r="D79" s="825"/>
      <c r="E79" s="825"/>
      <c r="F79" s="875"/>
      <c r="G79" s="824"/>
      <c r="H79" s="1083"/>
      <c r="I79" s="1127"/>
    </row>
    <row r="80" spans="1:9" s="855" customFormat="1" ht="18" customHeight="1" hidden="1">
      <c r="A80" s="820">
        <v>24</v>
      </c>
      <c r="B80" s="825" t="s">
        <v>502</v>
      </c>
      <c r="C80" s="825"/>
      <c r="D80" s="825"/>
      <c r="E80" s="825"/>
      <c r="F80" s="836"/>
      <c r="G80" s="832"/>
      <c r="H80" s="1083"/>
      <c r="I80" s="1066"/>
    </row>
    <row r="81" spans="1:9" s="855" customFormat="1" ht="18" customHeight="1" hidden="1">
      <c r="A81" s="820"/>
      <c r="B81" s="825"/>
      <c r="C81" s="825"/>
      <c r="D81" s="825"/>
      <c r="E81" s="825"/>
      <c r="F81" s="831"/>
      <c r="G81" s="834"/>
      <c r="H81" s="1083"/>
      <c r="I81" s="1127"/>
    </row>
    <row r="82" spans="1:9" s="855" customFormat="1" ht="18" customHeight="1" hidden="1">
      <c r="A82" s="820">
        <v>25</v>
      </c>
      <c r="B82" s="825" t="s">
        <v>503</v>
      </c>
      <c r="C82" s="825"/>
      <c r="D82" s="825"/>
      <c r="E82" s="825"/>
      <c r="F82" s="836"/>
      <c r="G82" s="832"/>
      <c r="H82" s="1083"/>
      <c r="I82" s="1128"/>
    </row>
    <row r="83" spans="1:9" s="855" customFormat="1" ht="18" customHeight="1" hidden="1">
      <c r="A83" s="820"/>
      <c r="B83" s="825"/>
      <c r="C83" s="825"/>
      <c r="D83" s="825"/>
      <c r="E83" s="825"/>
      <c r="F83" s="835"/>
      <c r="G83" s="838"/>
      <c r="H83" s="1083"/>
      <c r="I83" s="1128"/>
    </row>
    <row r="84" spans="1:9" s="855" customFormat="1" ht="18" customHeight="1" hidden="1">
      <c r="A84" s="820">
        <v>26</v>
      </c>
      <c r="B84" s="825" t="s">
        <v>494</v>
      </c>
      <c r="C84" s="825"/>
      <c r="D84" s="825"/>
      <c r="E84" s="825"/>
      <c r="F84" s="835"/>
      <c r="G84" s="876"/>
      <c r="H84" s="1083"/>
      <c r="I84" s="1128"/>
    </row>
    <row r="85" spans="1:9" s="855" customFormat="1" ht="18" customHeight="1" hidden="1">
      <c r="A85" s="820"/>
      <c r="B85" s="825"/>
      <c r="C85" s="825"/>
      <c r="D85" s="825"/>
      <c r="E85" s="825"/>
      <c r="F85" s="835"/>
      <c r="G85" s="842"/>
      <c r="H85" s="1083"/>
      <c r="I85" s="1128"/>
    </row>
    <row r="86" spans="1:9" s="855" customFormat="1" ht="18" customHeight="1" hidden="1">
      <c r="A86" s="820">
        <v>27</v>
      </c>
      <c r="B86" s="825" t="s">
        <v>494</v>
      </c>
      <c r="C86" s="825"/>
      <c r="D86" s="825"/>
      <c r="E86" s="825"/>
      <c r="F86" s="835"/>
      <c r="G86" s="876"/>
      <c r="H86" s="1083"/>
      <c r="I86" s="1128"/>
    </row>
    <row r="87" spans="1:9" s="855" customFormat="1" ht="18" customHeight="1" hidden="1">
      <c r="A87" s="1052"/>
      <c r="B87" s="840"/>
      <c r="C87" s="840"/>
      <c r="D87" s="840"/>
      <c r="E87" s="840"/>
      <c r="F87" s="841"/>
      <c r="G87" s="877"/>
      <c r="H87" s="1085"/>
      <c r="I87" s="1127"/>
    </row>
    <row r="88" spans="1:9" s="855" customFormat="1" ht="18" customHeight="1">
      <c r="A88" s="1218"/>
      <c r="B88" s="882"/>
      <c r="C88" s="882"/>
      <c r="D88" s="882"/>
      <c r="E88" s="882"/>
      <c r="F88" s="1216"/>
      <c r="G88" s="1217"/>
      <c r="H88" s="1086"/>
      <c r="I88" s="1127"/>
    </row>
    <row r="89" spans="1:7" ht="18" customHeight="1">
      <c r="A89" s="1207"/>
      <c r="B89" s="1219" t="s">
        <v>508</v>
      </c>
      <c r="C89" s="867"/>
      <c r="D89" s="868"/>
      <c r="E89" s="868"/>
      <c r="F89" s="1220"/>
      <c r="G89" s="1220"/>
    </row>
    <row r="90" spans="1:9" s="936" customFormat="1" ht="18" customHeight="1">
      <c r="A90" s="814"/>
      <c r="B90" s="844"/>
      <c r="C90" s="844"/>
      <c r="D90" s="816"/>
      <c r="E90" s="816"/>
      <c r="F90" s="845" t="s">
        <v>298</v>
      </c>
      <c r="G90" s="846" t="s">
        <v>299</v>
      </c>
      <c r="H90" s="1087"/>
      <c r="I90" s="1067"/>
    </row>
    <row r="91" spans="1:9" s="936" customFormat="1" ht="30" customHeight="1">
      <c r="A91" s="833">
        <v>51</v>
      </c>
      <c r="B91" s="1337" t="s">
        <v>875</v>
      </c>
      <c r="C91" s="1337"/>
      <c r="D91" s="1337"/>
      <c r="E91" s="1338"/>
      <c r="F91" s="847"/>
      <c r="G91" s="847"/>
      <c r="H91" s="1087">
        <v>1</v>
      </c>
      <c r="I91" s="1066" t="str">
        <f>IF(H91=1,"VERO",IF(H91=2,"FALSO",""))</f>
        <v>VERO</v>
      </c>
    </row>
    <row r="92" spans="1:9" s="936" customFormat="1" ht="9" customHeight="1">
      <c r="A92" s="820"/>
      <c r="B92" s="934"/>
      <c r="C92" s="850"/>
      <c r="D92" s="821"/>
      <c r="E92" s="821"/>
      <c r="F92" s="821"/>
      <c r="G92" s="851"/>
      <c r="H92" s="1087"/>
      <c r="I92" s="1067"/>
    </row>
    <row r="93" spans="1:9" s="936" customFormat="1" ht="30" customHeight="1">
      <c r="A93" s="833">
        <v>52</v>
      </c>
      <c r="B93" s="857" t="s">
        <v>494</v>
      </c>
      <c r="C93" s="850"/>
      <c r="D93" s="821"/>
      <c r="E93" s="821"/>
      <c r="F93" s="1212"/>
      <c r="G93" s="1212"/>
      <c r="H93" s="1087"/>
      <c r="I93" s="1066"/>
    </row>
    <row r="94" spans="1:9" s="936" customFormat="1" ht="9" customHeight="1">
      <c r="A94" s="820"/>
      <c r="B94" s="934"/>
      <c r="C94" s="850"/>
      <c r="D94" s="821"/>
      <c r="E94" s="821"/>
      <c r="F94" s="821"/>
      <c r="G94" s="851"/>
      <c r="H94" s="1087"/>
      <c r="I94" s="1067"/>
    </row>
    <row r="95" spans="1:9" s="936" customFormat="1" ht="30" customHeight="1">
      <c r="A95" s="833">
        <v>53</v>
      </c>
      <c r="B95" s="857" t="s">
        <v>494</v>
      </c>
      <c r="C95" s="850"/>
      <c r="D95" s="821"/>
      <c r="E95" s="821"/>
      <c r="F95" s="1212"/>
      <c r="G95" s="1212"/>
      <c r="H95" s="1087"/>
      <c r="I95" s="1066"/>
    </row>
    <row r="96" spans="1:9" s="936" customFormat="1" ht="9" customHeight="1">
      <c r="A96" s="820"/>
      <c r="B96" s="934"/>
      <c r="C96" s="850"/>
      <c r="D96" s="821"/>
      <c r="E96" s="821"/>
      <c r="F96" s="821"/>
      <c r="G96" s="851"/>
      <c r="H96" s="1087"/>
      <c r="I96" s="1067"/>
    </row>
    <row r="97" spans="1:9" s="936" customFormat="1" ht="18" customHeight="1">
      <c r="A97" s="833">
        <v>54</v>
      </c>
      <c r="B97" s="857" t="s">
        <v>494</v>
      </c>
      <c r="C97" s="939"/>
      <c r="D97" s="940"/>
      <c r="E97" s="940"/>
      <c r="F97" s="940"/>
      <c r="G97" s="830" t="s">
        <v>305</v>
      </c>
      <c r="H97" s="1087"/>
      <c r="I97" s="1067"/>
    </row>
    <row r="98" spans="1:9" s="936" customFormat="1" ht="18" customHeight="1">
      <c r="A98" s="941"/>
      <c r="B98" s="940"/>
      <c r="C98" s="942"/>
      <c r="D98" s="940"/>
      <c r="E98" s="940">
        <v>55</v>
      </c>
      <c r="F98" s="857" t="s">
        <v>494</v>
      </c>
      <c r="G98" s="905"/>
      <c r="H98" s="1087"/>
      <c r="I98" s="1067"/>
    </row>
    <row r="99" spans="1:9" s="936" customFormat="1" ht="18" customHeight="1">
      <c r="A99" s="941"/>
      <c r="B99" s="940"/>
      <c r="C99" s="944"/>
      <c r="D99" s="940"/>
      <c r="E99" s="940">
        <v>56</v>
      </c>
      <c r="F99" s="857" t="s">
        <v>494</v>
      </c>
      <c r="G99" s="905"/>
      <c r="H99" s="1087"/>
      <c r="I99" s="1067"/>
    </row>
    <row r="100" spans="1:9" s="936" customFormat="1" ht="18" customHeight="1">
      <c r="A100" s="941"/>
      <c r="B100" s="940"/>
      <c r="C100" s="944"/>
      <c r="D100" s="940"/>
      <c r="E100" s="940">
        <v>57</v>
      </c>
      <c r="F100" s="857" t="s">
        <v>494</v>
      </c>
      <c r="G100" s="905"/>
      <c r="H100" s="1087"/>
      <c r="I100" s="1067"/>
    </row>
    <row r="101" spans="1:9" s="946" customFormat="1" ht="18" customHeight="1">
      <c r="A101" s="941"/>
      <c r="B101" s="940"/>
      <c r="C101" s="944"/>
      <c r="D101" s="940"/>
      <c r="E101" s="940">
        <v>58</v>
      </c>
      <c r="F101" s="857" t="s">
        <v>494</v>
      </c>
      <c r="G101" s="905"/>
      <c r="H101" s="1088"/>
      <c r="I101" s="1129"/>
    </row>
    <row r="102" spans="1:9" s="936" customFormat="1" ht="18" customHeight="1">
      <c r="A102" s="941"/>
      <c r="B102" s="940"/>
      <c r="C102" s="942"/>
      <c r="D102" s="940"/>
      <c r="E102" s="940">
        <v>59</v>
      </c>
      <c r="F102" s="857" t="s">
        <v>494</v>
      </c>
      <c r="G102" s="905"/>
      <c r="H102" s="1089"/>
      <c r="I102" s="1067"/>
    </row>
    <row r="103" spans="1:9" s="936" customFormat="1" ht="18" customHeight="1">
      <c r="A103" s="941"/>
      <c r="B103" s="940"/>
      <c r="C103" s="947"/>
      <c r="D103" s="940"/>
      <c r="E103" s="940">
        <v>60</v>
      </c>
      <c r="F103" s="857" t="s">
        <v>494</v>
      </c>
      <c r="G103" s="905"/>
      <c r="H103" s="1087"/>
      <c r="I103" s="1067"/>
    </row>
    <row r="104" spans="1:12" s="936" customFormat="1" ht="18" customHeight="1" hidden="1">
      <c r="A104" s="941"/>
      <c r="B104" s="1327"/>
      <c r="C104" s="1328"/>
      <c r="D104" s="1328"/>
      <c r="E104" s="1328"/>
      <c r="F104" s="1329"/>
      <c r="G104" s="948"/>
      <c r="H104" s="1090"/>
      <c r="I104" s="1091"/>
      <c r="J104" s="1332"/>
      <c r="K104" s="1332"/>
      <c r="L104" s="1333"/>
    </row>
    <row r="105" spans="1:12" s="936" customFormat="1" ht="9" customHeight="1">
      <c r="A105" s="949"/>
      <c r="B105" s="940"/>
      <c r="C105" s="940"/>
      <c r="D105" s="940"/>
      <c r="E105" s="940"/>
      <c r="F105" s="940"/>
      <c r="G105" s="950"/>
      <c r="H105" s="1092"/>
      <c r="I105" s="1091"/>
      <c r="J105" s="1332"/>
      <c r="K105" s="1332"/>
      <c r="L105" s="1333"/>
    </row>
    <row r="106" spans="1:9" s="936" customFormat="1" ht="30" customHeight="1">
      <c r="A106" s="951">
        <v>61</v>
      </c>
      <c r="B106" s="1385" t="s">
        <v>860</v>
      </c>
      <c r="C106" s="1385"/>
      <c r="D106" s="1385"/>
      <c r="E106" s="1385"/>
      <c r="F106" s="1386"/>
      <c r="G106" s="953"/>
      <c r="H106" s="1093"/>
      <c r="I106" s="1067"/>
    </row>
    <row r="107" spans="1:9" s="936" customFormat="1" ht="18" customHeight="1">
      <c r="A107" s="951"/>
      <c r="B107" s="954"/>
      <c r="C107" s="954"/>
      <c r="D107" s="954"/>
      <c r="E107" s="954"/>
      <c r="F107" s="954"/>
      <c r="G107" s="955"/>
      <c r="H107" s="1093"/>
      <c r="I107" s="1067"/>
    </row>
    <row r="108" spans="1:9" s="936" customFormat="1" ht="18" customHeight="1">
      <c r="A108" s="956">
        <v>62</v>
      </c>
      <c r="B108" s="938" t="s">
        <v>861</v>
      </c>
      <c r="C108" s="939"/>
      <c r="D108" s="939"/>
      <c r="E108" s="940">
        <v>63</v>
      </c>
      <c r="F108" s="947" t="s">
        <v>649</v>
      </c>
      <c r="G108" s="955"/>
      <c r="H108" s="1094"/>
      <c r="I108" s="1067"/>
    </row>
    <row r="109" spans="1:9" s="936" customFormat="1" ht="18" customHeight="1">
      <c r="A109" s="941"/>
      <c r="B109" s="940" t="s">
        <v>862</v>
      </c>
      <c r="C109" s="942"/>
      <c r="D109" s="958"/>
      <c r="E109" s="940">
        <v>64</v>
      </c>
      <c r="F109" s="942" t="s">
        <v>544</v>
      </c>
      <c r="G109" s="953">
        <v>0</v>
      </c>
      <c r="H109" s="1094"/>
      <c r="I109" s="1067"/>
    </row>
    <row r="110" spans="1:9" s="936" customFormat="1" ht="18" customHeight="1">
      <c r="A110" s="941"/>
      <c r="B110" s="940" t="s">
        <v>863</v>
      </c>
      <c r="C110" s="944"/>
      <c r="D110" s="940"/>
      <c r="E110" s="940">
        <v>65</v>
      </c>
      <c r="F110" s="945" t="s">
        <v>864</v>
      </c>
      <c r="G110" s="1210">
        <v>0</v>
      </c>
      <c r="H110" s="1094"/>
      <c r="I110" s="1067"/>
    </row>
    <row r="111" spans="1:9" s="936" customFormat="1" ht="9" customHeight="1">
      <c r="A111" s="941"/>
      <c r="B111" s="942"/>
      <c r="C111" s="942"/>
      <c r="D111" s="942"/>
      <c r="E111" s="959"/>
      <c r="F111" s="960"/>
      <c r="G111" s="955"/>
      <c r="H111" s="1087"/>
      <c r="I111" s="1067"/>
    </row>
    <row r="112" spans="1:9" s="936" customFormat="1" ht="18" customHeight="1">
      <c r="A112" s="949"/>
      <c r="B112" s="961"/>
      <c r="C112" s="947"/>
      <c r="D112" s="940"/>
      <c r="E112" s="940">
        <v>66</v>
      </c>
      <c r="F112" s="947" t="s">
        <v>650</v>
      </c>
      <c r="G112" s="955"/>
      <c r="H112" s="1087"/>
      <c r="I112" s="1067"/>
    </row>
    <row r="113" spans="1:9" s="936" customFormat="1" ht="18" customHeight="1">
      <c r="A113" s="941"/>
      <c r="B113" s="940"/>
      <c r="C113" s="942"/>
      <c r="D113" s="958"/>
      <c r="E113" s="940">
        <v>67</v>
      </c>
      <c r="F113" s="942" t="s">
        <v>544</v>
      </c>
      <c r="G113" s="953"/>
      <c r="H113" s="1087"/>
      <c r="I113" s="1067"/>
    </row>
    <row r="114" spans="1:9" s="936" customFormat="1" ht="18" customHeight="1">
      <c r="A114" s="941"/>
      <c r="B114" s="940"/>
      <c r="C114" s="944"/>
      <c r="D114" s="940"/>
      <c r="E114" s="939">
        <v>68</v>
      </c>
      <c r="F114" s="945" t="s">
        <v>864</v>
      </c>
      <c r="G114" s="1210"/>
      <c r="H114" s="1087"/>
      <c r="I114" s="1067"/>
    </row>
    <row r="115" spans="1:9" s="936" customFormat="1" ht="9" customHeight="1">
      <c r="A115" s="941"/>
      <c r="B115" s="942"/>
      <c r="C115" s="942"/>
      <c r="D115" s="942"/>
      <c r="E115" s="959"/>
      <c r="F115" s="960"/>
      <c r="G115" s="955"/>
      <c r="H115" s="1087"/>
      <c r="I115" s="1067"/>
    </row>
    <row r="116" spans="1:9" s="936" customFormat="1" ht="18" customHeight="1">
      <c r="A116" s="949"/>
      <c r="B116" s="961"/>
      <c r="C116" s="947"/>
      <c r="D116" s="940"/>
      <c r="E116" s="940">
        <v>69</v>
      </c>
      <c r="F116" s="947" t="s">
        <v>651</v>
      </c>
      <c r="G116" s="955"/>
      <c r="H116" s="1087"/>
      <c r="I116" s="1067"/>
    </row>
    <row r="117" spans="1:9" s="936" customFormat="1" ht="18" customHeight="1">
      <c r="A117" s="941"/>
      <c r="B117" s="940"/>
      <c r="C117" s="942"/>
      <c r="D117" s="958"/>
      <c r="E117" s="940">
        <v>70</v>
      </c>
      <c r="F117" s="942" t="s">
        <v>544</v>
      </c>
      <c r="G117" s="953"/>
      <c r="H117" s="1087"/>
      <c r="I117" s="1067"/>
    </row>
    <row r="118" spans="1:9" s="936" customFormat="1" ht="18" customHeight="1">
      <c r="A118" s="941"/>
      <c r="B118" s="940"/>
      <c r="C118" s="944"/>
      <c r="D118" s="940"/>
      <c r="E118" s="939">
        <v>71</v>
      </c>
      <c r="F118" s="945" t="s">
        <v>864</v>
      </c>
      <c r="G118" s="1210"/>
      <c r="H118" s="1087"/>
      <c r="I118" s="1067"/>
    </row>
    <row r="119" spans="1:9" s="936" customFormat="1" ht="9" customHeight="1">
      <c r="A119" s="941"/>
      <c r="B119" s="940"/>
      <c r="C119" s="944"/>
      <c r="D119" s="940"/>
      <c r="E119" s="940"/>
      <c r="F119" s="945"/>
      <c r="G119" s="963"/>
      <c r="H119" s="1087"/>
      <c r="I119" s="1067"/>
    </row>
    <row r="120" spans="1:9" s="936" customFormat="1" ht="18" customHeight="1">
      <c r="A120" s="949"/>
      <c r="B120" s="961"/>
      <c r="C120" s="947"/>
      <c r="D120" s="940"/>
      <c r="E120" s="962">
        <v>72</v>
      </c>
      <c r="F120" s="947" t="s">
        <v>652</v>
      </c>
      <c r="G120" s="955"/>
      <c r="H120" s="1087"/>
      <c r="I120" s="1067"/>
    </row>
    <row r="121" spans="1:7" ht="18" customHeight="1">
      <c r="A121" s="941"/>
      <c r="B121" s="940"/>
      <c r="C121" s="942"/>
      <c r="D121" s="958"/>
      <c r="E121" s="940">
        <v>73</v>
      </c>
      <c r="F121" s="942" t="s">
        <v>544</v>
      </c>
      <c r="G121" s="953"/>
    </row>
    <row r="122" spans="1:7" ht="18" customHeight="1">
      <c r="A122" s="941"/>
      <c r="B122" s="940"/>
      <c r="C122" s="942"/>
      <c r="D122" s="958"/>
      <c r="E122" s="940">
        <v>74</v>
      </c>
      <c r="F122" s="945" t="s">
        <v>864</v>
      </c>
      <c r="G122" s="1210"/>
    </row>
    <row r="123" spans="1:7" ht="9" customHeight="1">
      <c r="A123" s="941"/>
      <c r="B123" s="940"/>
      <c r="C123" s="942"/>
      <c r="D123" s="958"/>
      <c r="E123" s="940"/>
      <c r="F123" s="945"/>
      <c r="G123" s="964"/>
    </row>
    <row r="124" spans="1:7" ht="18" customHeight="1">
      <c r="A124" s="941"/>
      <c r="B124" s="940"/>
      <c r="C124" s="942"/>
      <c r="D124" s="958"/>
      <c r="E124" s="940">
        <v>75</v>
      </c>
      <c r="F124" s="945"/>
      <c r="G124" s="965"/>
    </row>
    <row r="125" spans="1:7" ht="18" customHeight="1">
      <c r="A125" s="941"/>
      <c r="B125" s="940"/>
      <c r="C125" s="942"/>
      <c r="D125" s="958"/>
      <c r="E125" s="940">
        <v>76</v>
      </c>
      <c r="F125" s="945" t="s">
        <v>494</v>
      </c>
      <c r="G125" s="966"/>
    </row>
    <row r="126" spans="1:7" ht="18" customHeight="1">
      <c r="A126" s="941"/>
      <c r="B126" s="940"/>
      <c r="C126" s="942"/>
      <c r="D126" s="958"/>
      <c r="E126" s="940">
        <v>77</v>
      </c>
      <c r="F126" s="945" t="s">
        <v>494</v>
      </c>
      <c r="G126" s="967"/>
    </row>
    <row r="127" spans="1:7" ht="9" customHeight="1">
      <c r="A127" s="941"/>
      <c r="B127" s="940"/>
      <c r="C127" s="942"/>
      <c r="D127" s="958"/>
      <c r="E127" s="940"/>
      <c r="F127" s="945"/>
      <c r="G127" s="964"/>
    </row>
    <row r="128" spans="1:7" ht="18" customHeight="1">
      <c r="A128" s="941"/>
      <c r="B128" s="940"/>
      <c r="C128" s="942"/>
      <c r="D128" s="958"/>
      <c r="E128" s="940">
        <v>78</v>
      </c>
      <c r="F128" s="945"/>
      <c r="G128" s="965"/>
    </row>
    <row r="129" spans="1:7" ht="18" customHeight="1">
      <c r="A129" s="941"/>
      <c r="B129" s="940"/>
      <c r="C129" s="942"/>
      <c r="D129" s="958"/>
      <c r="E129" s="940">
        <v>79</v>
      </c>
      <c r="F129" s="945" t="s">
        <v>494</v>
      </c>
      <c r="G129" s="966"/>
    </row>
    <row r="130" spans="1:7" ht="18" customHeight="1">
      <c r="A130" s="941"/>
      <c r="B130" s="940"/>
      <c r="C130" s="942"/>
      <c r="D130" s="958"/>
      <c r="E130" s="940">
        <v>80</v>
      </c>
      <c r="F130" s="945" t="s">
        <v>494</v>
      </c>
      <c r="G130" s="967"/>
    </row>
    <row r="131" spans="1:7" ht="18" customHeight="1">
      <c r="A131" s="1054"/>
      <c r="B131" s="855"/>
      <c r="C131" s="942"/>
      <c r="D131" s="958"/>
      <c r="E131" s="1378" t="s">
        <v>545</v>
      </c>
      <c r="F131" s="1379"/>
      <c r="G131" s="968">
        <f>SUM(G109,G113,G117,G121,G125,G129)</f>
        <v>0</v>
      </c>
    </row>
    <row r="132" spans="1:9" s="936" customFormat="1" ht="9" customHeight="1">
      <c r="A132" s="969"/>
      <c r="B132" s="970"/>
      <c r="C132" s="971"/>
      <c r="D132" s="972"/>
      <c r="E132" s="1340"/>
      <c r="F132" s="1380"/>
      <c r="G132" s="1206"/>
      <c r="H132" s="1087"/>
      <c r="I132" s="1067"/>
    </row>
    <row r="133" spans="1:9" s="936" customFormat="1" ht="18" customHeight="1">
      <c r="A133" s="974"/>
      <c r="B133" s="975"/>
      <c r="C133" s="975"/>
      <c r="D133" s="975"/>
      <c r="E133" s="959"/>
      <c r="F133" s="960"/>
      <c r="H133" s="1087"/>
      <c r="I133" s="1067"/>
    </row>
    <row r="134" spans="1:9" s="936" customFormat="1" ht="18" customHeight="1">
      <c r="A134" s="1207"/>
      <c r="B134" s="1208" t="s">
        <v>865</v>
      </c>
      <c r="C134" s="870"/>
      <c r="D134" s="798"/>
      <c r="E134" s="798"/>
      <c r="F134" s="813"/>
      <c r="G134" s="813"/>
      <c r="H134" s="1087"/>
      <c r="I134" s="1067"/>
    </row>
    <row r="135" spans="1:9" s="936" customFormat="1" ht="18" customHeight="1">
      <c r="A135" s="951">
        <v>81</v>
      </c>
      <c r="B135" s="945" t="s">
        <v>494</v>
      </c>
      <c r="C135" s="977"/>
      <c r="D135" s="977"/>
      <c r="E135" s="977"/>
      <c r="F135" s="977"/>
      <c r="G135" s="830" t="s">
        <v>305</v>
      </c>
      <c r="H135" s="1087"/>
      <c r="I135" s="1067"/>
    </row>
    <row r="136" spans="1:9" s="936" customFormat="1" ht="18" customHeight="1">
      <c r="A136" s="951">
        <v>82</v>
      </c>
      <c r="B136" s="945" t="s">
        <v>494</v>
      </c>
      <c r="C136" s="978"/>
      <c r="D136" s="978"/>
      <c r="E136" s="958"/>
      <c r="F136" s="945"/>
      <c r="G136" s="967"/>
      <c r="H136" s="1087"/>
      <c r="I136" s="1067"/>
    </row>
    <row r="137" spans="1:9" s="936" customFormat="1" ht="18" customHeight="1">
      <c r="A137" s="951">
        <v>83</v>
      </c>
      <c r="B137" s="945" t="s">
        <v>494</v>
      </c>
      <c r="C137" s="978"/>
      <c r="D137" s="978"/>
      <c r="E137" s="958"/>
      <c r="F137" s="945"/>
      <c r="G137" s="967"/>
      <c r="H137" s="1087"/>
      <c r="I137" s="1067"/>
    </row>
    <row r="138" spans="1:9" s="936" customFormat="1" ht="18" customHeight="1">
      <c r="A138" s="951">
        <v>84</v>
      </c>
      <c r="B138" s="945" t="s">
        <v>494</v>
      </c>
      <c r="C138" s="978"/>
      <c r="D138" s="978"/>
      <c r="E138" s="958"/>
      <c r="F138" s="979"/>
      <c r="G138" s="967"/>
      <c r="H138" s="1087"/>
      <c r="I138" s="1067"/>
    </row>
    <row r="139" spans="1:9" s="936" customFormat="1" ht="18" customHeight="1">
      <c r="A139" s="951">
        <v>85</v>
      </c>
      <c r="B139" s="945" t="s">
        <v>494</v>
      </c>
      <c r="C139" s="978"/>
      <c r="D139" s="978"/>
      <c r="E139" s="958"/>
      <c r="F139" s="945"/>
      <c r="G139" s="967"/>
      <c r="H139" s="1087"/>
      <c r="I139" s="1067"/>
    </row>
    <row r="140" spans="1:12" s="936" customFormat="1" ht="18" customHeight="1">
      <c r="A140" s="941"/>
      <c r="B140" s="942"/>
      <c r="C140" s="942"/>
      <c r="D140" s="942"/>
      <c r="E140" s="942"/>
      <c r="F140" s="980"/>
      <c r="G140" s="948"/>
      <c r="H140" s="1095"/>
      <c r="I140" s="1091"/>
      <c r="J140" s="1365"/>
      <c r="K140" s="1365"/>
      <c r="L140" s="1205"/>
    </row>
    <row r="141" spans="1:12" s="936" customFormat="1" ht="30" customHeight="1">
      <c r="A141" s="941"/>
      <c r="B141" s="961"/>
      <c r="C141" s="947"/>
      <c r="D141" s="940"/>
      <c r="E141" s="940"/>
      <c r="F141" s="940"/>
      <c r="G141" s="863"/>
      <c r="H141" s="1096"/>
      <c r="I141" s="1091"/>
      <c r="J141" s="1362" t="str">
        <f>IF((G146+G148+G150)&gt;0,"Grado di differenziazione dei premi di risultato regolati dall'accordo annuale sul fondo 2009 (le percentuali vanno calcolate con riferimento al totale dei dipendenti dell'Area / Categoria / Fascia al 31/12 dell'anno precedente):","")</f>
        <v>Grado di differenziazione dei premi di risultato regolati dall'accordo annuale sul fondo 2009 (le percentuali vanno calcolate con riferimento al totale dei dipendenti dell'Area / Categoria / Fascia al 31/12 dell'anno precedente):</v>
      </c>
      <c r="K141" s="1362"/>
      <c r="L141" s="1362"/>
    </row>
    <row r="142" spans="1:12" s="936" customFormat="1" ht="30" customHeight="1">
      <c r="A142" s="951">
        <v>86</v>
      </c>
      <c r="B142" s="1363" t="s">
        <v>866</v>
      </c>
      <c r="C142" s="1363"/>
      <c r="D142" s="1363"/>
      <c r="E142" s="1363"/>
      <c r="F142" s="1364"/>
      <c r="G142" s="953"/>
      <c r="H142" s="1087"/>
      <c r="I142" s="1067"/>
      <c r="J142" s="1362"/>
      <c r="K142" s="1362"/>
      <c r="L142" s="1362"/>
    </row>
    <row r="143" spans="1:12" s="936" customFormat="1" ht="9" customHeight="1">
      <c r="A143" s="951"/>
      <c r="B143" s="944"/>
      <c r="C143" s="947"/>
      <c r="D143" s="940"/>
      <c r="E143" s="940"/>
      <c r="F143" s="940"/>
      <c r="G143" s="981"/>
      <c r="H143" s="1087"/>
      <c r="I143" s="1067"/>
      <c r="J143" s="1362"/>
      <c r="K143" s="1362"/>
      <c r="L143" s="1362"/>
    </row>
    <row r="144" spans="1:12" s="936" customFormat="1" ht="30" customHeight="1">
      <c r="A144" s="951">
        <v>87</v>
      </c>
      <c r="B144" s="1363" t="s">
        <v>867</v>
      </c>
      <c r="C144" s="1363"/>
      <c r="D144" s="1363"/>
      <c r="E144" s="1363"/>
      <c r="F144" s="1364"/>
      <c r="G144" s="953">
        <v>138102</v>
      </c>
      <c r="H144" s="1087"/>
      <c r="I144" s="1067"/>
      <c r="J144" s="1362"/>
      <c r="K144" s="1362"/>
      <c r="L144" s="1362"/>
    </row>
    <row r="145" spans="1:12" s="936" customFormat="1" ht="9" customHeight="1">
      <c r="A145" s="951"/>
      <c r="B145" s="944"/>
      <c r="C145" s="947"/>
      <c r="D145" s="940"/>
      <c r="E145" s="940"/>
      <c r="F145" s="940"/>
      <c r="G145" s="981"/>
      <c r="H145" s="1087"/>
      <c r="I145" s="1067"/>
      <c r="J145" s="1362"/>
      <c r="K145" s="1362"/>
      <c r="L145" s="1362"/>
    </row>
    <row r="146" spans="1:11" s="936" customFormat="1" ht="30" customHeight="1">
      <c r="A146" s="951">
        <v>88</v>
      </c>
      <c r="B146" s="1363" t="s">
        <v>904</v>
      </c>
      <c r="C146" s="1363"/>
      <c r="D146" s="1363"/>
      <c r="E146" s="1363"/>
      <c r="F146" s="1364"/>
      <c r="G146" s="953">
        <v>50</v>
      </c>
      <c r="H146" s="1087"/>
      <c r="I146" s="1067"/>
      <c r="J146" s="1203" t="str">
        <f>IF((G146+G148+G150)&gt;0,"==&gt; ","")</f>
        <v>==&gt; </v>
      </c>
      <c r="K146" s="1203" t="str">
        <f>IF((G146+G148+G150)&gt;0,(ROUND(G146/(G146+G148+G150)*100,2)&amp;"%"),"")</f>
        <v>50%</v>
      </c>
    </row>
    <row r="147" spans="1:11" s="936" customFormat="1" ht="9" customHeight="1">
      <c r="A147" s="951"/>
      <c r="C147" s="947"/>
      <c r="D147" s="940"/>
      <c r="E147" s="940"/>
      <c r="F147" s="940"/>
      <c r="G147" s="863"/>
      <c r="H147" s="1087"/>
      <c r="I147" s="1067"/>
      <c r="J147" s="1204"/>
      <c r="K147" s="1204"/>
    </row>
    <row r="148" spans="1:11" s="936" customFormat="1" ht="30" customHeight="1">
      <c r="A148" s="951">
        <v>89</v>
      </c>
      <c r="B148" s="1363" t="s">
        <v>901</v>
      </c>
      <c r="C148" s="1363"/>
      <c r="D148" s="1363"/>
      <c r="E148" s="1363"/>
      <c r="F148" s="1364"/>
      <c r="G148" s="953">
        <v>30</v>
      </c>
      <c r="H148" s="1087"/>
      <c r="I148" s="1067"/>
      <c r="J148" s="1203" t="str">
        <f>IF((G146+G148+G150)&gt;0,"==&gt; ","")</f>
        <v>==&gt; </v>
      </c>
      <c r="K148" s="1203" t="str">
        <f>IF((G146+G148+G150)&gt;0,(ROUND(G148/(G146+G148+G150)*100,2)&amp;"%"),"")</f>
        <v>30%</v>
      </c>
    </row>
    <row r="149" spans="1:11" s="936" customFormat="1" ht="9" customHeight="1">
      <c r="A149" s="951"/>
      <c r="B149" s="961"/>
      <c r="C149" s="947"/>
      <c r="D149" s="940"/>
      <c r="E149" s="940"/>
      <c r="F149" s="940"/>
      <c r="G149" s="981"/>
      <c r="H149" s="1087"/>
      <c r="I149" s="1067"/>
      <c r="J149" s="1204"/>
      <c r="K149" s="1204"/>
    </row>
    <row r="150" spans="1:11" s="936" customFormat="1" ht="30" customHeight="1">
      <c r="A150" s="951">
        <v>90</v>
      </c>
      <c r="B150" s="1363" t="s">
        <v>868</v>
      </c>
      <c r="C150" s="1363"/>
      <c r="D150" s="1363"/>
      <c r="E150" s="1363"/>
      <c r="F150" s="1364"/>
      <c r="G150" s="953">
        <v>20</v>
      </c>
      <c r="H150" s="1087"/>
      <c r="I150" s="1067"/>
      <c r="J150" s="1203" t="str">
        <f>IF((G146+G148+G150)&gt;0,"==&gt; ","")</f>
        <v>==&gt; </v>
      </c>
      <c r="K150" s="1203" t="str">
        <f>IF((G146+G148+G150)&gt;0,(ROUND(G150/(G146+G148+G150)*100,2)&amp;"%"),"")</f>
        <v>20%</v>
      </c>
    </row>
    <row r="151" spans="1:9" s="936" customFormat="1" ht="9" customHeight="1">
      <c r="A151" s="951"/>
      <c r="B151" s="944"/>
      <c r="C151" s="947"/>
      <c r="D151" s="940"/>
      <c r="E151" s="940"/>
      <c r="F151" s="940"/>
      <c r="G151" s="981"/>
      <c r="H151" s="1087"/>
      <c r="I151" s="1067"/>
    </row>
    <row r="152" spans="1:9" s="936" customFormat="1" ht="18" customHeight="1">
      <c r="A152" s="951">
        <v>91</v>
      </c>
      <c r="B152" s="945" t="s">
        <v>494</v>
      </c>
      <c r="C152" s="942"/>
      <c r="D152" s="942"/>
      <c r="E152" s="942"/>
      <c r="F152" s="979"/>
      <c r="G152" s="966"/>
      <c r="H152" s="1087"/>
      <c r="I152" s="1067"/>
    </row>
    <row r="153" spans="1:9" s="936" customFormat="1" ht="9" customHeight="1">
      <c r="A153" s="951"/>
      <c r="B153" s="944"/>
      <c r="C153" s="947"/>
      <c r="D153" s="940"/>
      <c r="E153" s="940"/>
      <c r="F153" s="940"/>
      <c r="G153" s="981"/>
      <c r="H153" s="1087"/>
      <c r="I153" s="1067"/>
    </row>
    <row r="154" spans="1:9" s="936" customFormat="1" ht="18" customHeight="1">
      <c r="A154" s="951">
        <v>92</v>
      </c>
      <c r="B154" s="945" t="s">
        <v>494</v>
      </c>
      <c r="C154" s="942"/>
      <c r="D154" s="942"/>
      <c r="E154" s="942"/>
      <c r="F154" s="979"/>
      <c r="G154" s="966"/>
      <c r="H154" s="1087"/>
      <c r="I154" s="1067"/>
    </row>
    <row r="155" spans="1:9" s="936" customFormat="1" ht="9" customHeight="1">
      <c r="A155" s="937"/>
      <c r="B155" s="944"/>
      <c r="C155" s="947"/>
      <c r="D155" s="940"/>
      <c r="E155" s="940"/>
      <c r="F155" s="940"/>
      <c r="G155" s="863"/>
      <c r="H155" s="1087"/>
      <c r="I155" s="1067"/>
    </row>
    <row r="156" spans="1:9" s="936" customFormat="1" ht="18" customHeight="1">
      <c r="A156" s="941">
        <v>93</v>
      </c>
      <c r="B156" s="945" t="s">
        <v>494</v>
      </c>
      <c r="C156" s="942"/>
      <c r="D156" s="942"/>
      <c r="E156" s="942"/>
      <c r="F156" s="940"/>
      <c r="G156" s="966"/>
      <c r="H156" s="1087"/>
      <c r="I156" s="1067"/>
    </row>
    <row r="157" spans="1:9" s="936" customFormat="1" ht="9" customHeight="1">
      <c r="A157" s="951"/>
      <c r="B157" s="944"/>
      <c r="C157" s="947"/>
      <c r="D157" s="940"/>
      <c r="E157" s="940"/>
      <c r="F157" s="940"/>
      <c r="G157" s="981"/>
      <c r="H157" s="1087"/>
      <c r="I157" s="1067"/>
    </row>
    <row r="158" spans="1:9" s="984" customFormat="1" ht="18" customHeight="1">
      <c r="A158" s="951">
        <v>94</v>
      </c>
      <c r="B158" s="945" t="s">
        <v>494</v>
      </c>
      <c r="C158" s="982"/>
      <c r="D158" s="982"/>
      <c r="E158" s="982"/>
      <c r="F158" s="983"/>
      <c r="G158" s="966"/>
      <c r="H158" s="1097"/>
      <c r="I158" s="1130"/>
    </row>
    <row r="159" spans="1:9" s="872" customFormat="1" ht="9" customHeight="1">
      <c r="A159" s="951"/>
      <c r="B159" s="944"/>
      <c r="C159" s="947"/>
      <c r="D159" s="940"/>
      <c r="E159" s="940"/>
      <c r="F159" s="940"/>
      <c r="G159" s="981"/>
      <c r="H159" s="1079"/>
      <c r="I159" s="1125"/>
    </row>
    <row r="160" spans="1:9" s="874" customFormat="1" ht="18" customHeight="1">
      <c r="A160" s="951">
        <v>95</v>
      </c>
      <c r="B160" s="945" t="s">
        <v>494</v>
      </c>
      <c r="C160" s="942"/>
      <c r="D160" s="942"/>
      <c r="E160" s="942"/>
      <c r="F160" s="979"/>
      <c r="G160" s="966"/>
      <c r="H160" s="1081"/>
      <c r="I160" s="1126"/>
    </row>
    <row r="161" spans="1:9" s="874" customFormat="1" ht="9" customHeight="1">
      <c r="A161" s="951"/>
      <c r="B161" s="945"/>
      <c r="C161" s="942"/>
      <c r="D161" s="942"/>
      <c r="E161" s="942"/>
      <c r="F161" s="954"/>
      <c r="G161" s="986"/>
      <c r="H161" s="1081"/>
      <c r="I161" s="1126"/>
    </row>
    <row r="162" spans="1:9" s="874" customFormat="1" ht="18" customHeight="1">
      <c r="A162" s="951">
        <v>96</v>
      </c>
      <c r="B162" s="945" t="s">
        <v>494</v>
      </c>
      <c r="C162" s="942"/>
      <c r="D162" s="942"/>
      <c r="E162" s="942"/>
      <c r="F162" s="954"/>
      <c r="G162" s="966"/>
      <c r="H162" s="1081"/>
      <c r="I162" s="1126"/>
    </row>
    <row r="163" spans="1:9" s="874" customFormat="1" ht="9" customHeight="1">
      <c r="A163" s="951"/>
      <c r="B163" s="945"/>
      <c r="C163" s="942"/>
      <c r="D163" s="942"/>
      <c r="E163" s="942"/>
      <c r="F163" s="954"/>
      <c r="G163" s="986"/>
      <c r="H163" s="1081"/>
      <c r="I163" s="1126"/>
    </row>
    <row r="164" spans="1:9" s="874" customFormat="1" ht="18" customHeight="1">
      <c r="A164" s="1057">
        <v>97</v>
      </c>
      <c r="B164" s="987" t="s">
        <v>494</v>
      </c>
      <c r="C164" s="988"/>
      <c r="D164" s="988"/>
      <c r="E164" s="988"/>
      <c r="F164" s="989"/>
      <c r="G164" s="966"/>
      <c r="H164" s="1081"/>
      <c r="I164" s="1126"/>
    </row>
    <row r="165" spans="1:9" s="874" customFormat="1" ht="18" customHeight="1">
      <c r="A165" s="985"/>
      <c r="B165" s="945"/>
      <c r="C165" s="942"/>
      <c r="D165" s="942"/>
      <c r="E165" s="942"/>
      <c r="F165" s="954"/>
      <c r="G165" s="990"/>
      <c r="H165" s="1081"/>
      <c r="I165" s="1126"/>
    </row>
    <row r="166" spans="1:9" s="874" customFormat="1" ht="18" customHeight="1">
      <c r="A166" s="878"/>
      <c r="B166" s="879" t="s">
        <v>504</v>
      </c>
      <c r="C166" s="843"/>
      <c r="D166" s="843"/>
      <c r="E166" s="843"/>
      <c r="F166" s="880"/>
      <c r="G166" s="831"/>
      <c r="H166" s="1081"/>
      <c r="I166" s="1126"/>
    </row>
    <row r="167" spans="1:9" s="874" customFormat="1" ht="18" customHeight="1">
      <c r="A167" s="881"/>
      <c r="B167" s="882"/>
      <c r="C167" s="882"/>
      <c r="D167" s="882"/>
      <c r="E167" s="882"/>
      <c r="F167" s="845" t="s">
        <v>298</v>
      </c>
      <c r="G167" s="846" t="s">
        <v>299</v>
      </c>
      <c r="H167" s="1081"/>
      <c r="I167" s="1126"/>
    </row>
    <row r="168" spans="1:9" s="993" customFormat="1" ht="19.5" customHeight="1">
      <c r="A168" s="956">
        <v>28</v>
      </c>
      <c r="B168" s="1003" t="s">
        <v>494</v>
      </c>
      <c r="C168" s="825"/>
      <c r="D168" s="825"/>
      <c r="E168" s="825"/>
      <c r="F168" s="966"/>
      <c r="G168" s="966"/>
      <c r="H168" s="1131"/>
      <c r="I168" s="1066"/>
    </row>
    <row r="169" spans="1:9" s="874" customFormat="1" ht="9" customHeight="1">
      <c r="A169" s="991"/>
      <c r="B169" s="992"/>
      <c r="C169" s="825"/>
      <c r="D169" s="825"/>
      <c r="E169" s="825"/>
      <c r="F169" s="829"/>
      <c r="G169" s="873"/>
      <c r="H169" s="1081"/>
      <c r="I169" s="1066"/>
    </row>
    <row r="170" spans="1:9" s="855" customFormat="1" ht="29.25" customHeight="1">
      <c r="A170" s="833">
        <v>29</v>
      </c>
      <c r="B170" s="1383" t="s">
        <v>539</v>
      </c>
      <c r="C170" s="1383"/>
      <c r="D170" s="1383"/>
      <c r="E170" s="1384"/>
      <c r="F170" s="884"/>
      <c r="G170" s="884"/>
      <c r="H170" s="1083">
        <v>2</v>
      </c>
      <c r="I170" s="1066" t="str">
        <f>IF(H170=1,"VERO",IF(H170=2,"FALSO",""))</f>
        <v>FALSO</v>
      </c>
    </row>
    <row r="171" spans="1:9" s="855" customFormat="1" ht="21" customHeight="1">
      <c r="A171" s="994"/>
      <c r="B171" s="995"/>
      <c r="C171" s="995"/>
      <c r="D171" s="807">
        <v>30</v>
      </c>
      <c r="E171" s="857" t="s">
        <v>453</v>
      </c>
      <c r="F171" s="885"/>
      <c r="G171" s="1376">
        <f>IF(AND(H170=1,H171=0),"RISPOSTA OBBLIGATORIA","")</f>
      </c>
      <c r="H171" s="1221">
        <v>0</v>
      </c>
      <c r="I171" s="1065">
        <f>IF(H171=1,"VERO",IF(H171=2,"FALSO",""))</f>
      </c>
    </row>
    <row r="172" spans="1:9" s="855" customFormat="1" ht="21" customHeight="1">
      <c r="A172" s="994"/>
      <c r="B172" s="996"/>
      <c r="C172" s="997"/>
      <c r="D172" s="807">
        <v>31</v>
      </c>
      <c r="E172" s="857" t="s">
        <v>454</v>
      </c>
      <c r="F172" s="1027"/>
      <c r="G172" s="1377"/>
      <c r="H172" s="1221"/>
      <c r="I172" s="1065">
        <f>IF(H171=1,"FALSO",IF(H171=2,"VERO",""))</f>
      </c>
    </row>
    <row r="173" spans="1:9" s="855" customFormat="1" ht="9" customHeight="1">
      <c r="A173" s="994"/>
      <c r="B173" s="997"/>
      <c r="C173" s="997"/>
      <c r="D173" s="997"/>
      <c r="E173" s="997"/>
      <c r="F173" s="823"/>
      <c r="G173" s="892"/>
      <c r="H173" s="1086"/>
      <c r="I173" s="1127"/>
    </row>
    <row r="174" spans="1:9" s="855" customFormat="1" ht="18" customHeight="1">
      <c r="A174" s="994"/>
      <c r="B174" s="998"/>
      <c r="C174" s="1214">
        <v>32</v>
      </c>
      <c r="D174" s="857" t="s">
        <v>494</v>
      </c>
      <c r="E174" s="999"/>
      <c r="F174" s="895"/>
      <c r="G174" s="892"/>
      <c r="H174" s="1098"/>
      <c r="I174" s="1127"/>
    </row>
    <row r="175" spans="1:9" s="783" customFormat="1" ht="18" customHeight="1">
      <c r="A175" s="994"/>
      <c r="B175" s="999"/>
      <c r="C175" s="999"/>
      <c r="D175" s="807">
        <v>33</v>
      </c>
      <c r="E175" s="857" t="s">
        <v>494</v>
      </c>
      <c r="F175" s="966"/>
      <c r="G175" s="1351">
        <f>IF(AND(H170=1,H171=2,F175=0,F176=0,F177=0,F178=0),"IMMETTERE UN VALORE PER ALMENO UNA DELLE TIPOLOGIE DI ISTITUZIONE","")</f>
      </c>
      <c r="H175" s="1099"/>
      <c r="I175" s="1066"/>
    </row>
    <row r="176" spans="1:9" s="936" customFormat="1" ht="18" customHeight="1">
      <c r="A176" s="994"/>
      <c r="B176" s="999"/>
      <c r="C176" s="999"/>
      <c r="D176" s="807">
        <v>34</v>
      </c>
      <c r="E176" s="857" t="s">
        <v>494</v>
      </c>
      <c r="F176" s="966"/>
      <c r="G176" s="1352"/>
      <c r="H176" s="1087"/>
      <c r="I176" s="1067"/>
    </row>
    <row r="177" spans="1:9" s="936" customFormat="1" ht="18" customHeight="1">
      <c r="A177" s="994"/>
      <c r="B177" s="999"/>
      <c r="C177" s="999"/>
      <c r="D177" s="807">
        <v>35</v>
      </c>
      <c r="E177" s="1003" t="s">
        <v>494</v>
      </c>
      <c r="F177" s="966"/>
      <c r="G177" s="1352"/>
      <c r="H177" s="1087"/>
      <c r="I177" s="1067"/>
    </row>
    <row r="178" spans="1:9" s="936" customFormat="1" ht="18" customHeight="1">
      <c r="A178" s="994"/>
      <c r="B178" s="1000"/>
      <c r="C178" s="1000"/>
      <c r="D178" s="807">
        <v>36</v>
      </c>
      <c r="E178" s="1003" t="s">
        <v>494</v>
      </c>
      <c r="F178" s="966"/>
      <c r="G178" s="1352"/>
      <c r="H178" s="1087"/>
      <c r="I178" s="1067"/>
    </row>
    <row r="179" spans="1:9" s="936" customFormat="1" ht="9" customHeight="1">
      <c r="A179" s="1001"/>
      <c r="B179" s="992"/>
      <c r="C179" s="1002"/>
      <c r="D179" s="1002"/>
      <c r="E179" s="1002"/>
      <c r="F179" s="1003"/>
      <c r="G179" s="981"/>
      <c r="H179" s="1087"/>
      <c r="I179" s="1067"/>
    </row>
    <row r="180" spans="1:9" s="936" customFormat="1" ht="18" customHeight="1">
      <c r="A180" s="833">
        <v>37</v>
      </c>
      <c r="B180" s="1003" t="s">
        <v>494</v>
      </c>
      <c r="C180" s="1002"/>
      <c r="D180" s="1002"/>
      <c r="E180" s="1002"/>
      <c r="F180" s="1004"/>
      <c r="G180" s="1005"/>
      <c r="H180" s="1087"/>
      <c r="I180" s="1067"/>
    </row>
    <row r="181" spans="1:9" s="936" customFormat="1" ht="18" customHeight="1">
      <c r="A181" s="1001"/>
      <c r="B181" s="1213">
        <v>38</v>
      </c>
      <c r="C181" s="1003" t="s">
        <v>494</v>
      </c>
      <c r="D181" s="1006"/>
      <c r="E181" s="1002"/>
      <c r="F181" s="966"/>
      <c r="G181" s="1366">
        <f>IF(AND(H170=1,I181=FALSE,I182=FALSE,I183=FALSE,I184=FALSE,I185=FALSE),"RISPOSTA OBBLIGATORIA: SELEZIONARE ALMENO UN PROCEDIMENTO","")</f>
      </c>
      <c r="H181" s="1087"/>
      <c r="I181" s="1067"/>
    </row>
    <row r="182" spans="1:9" s="936" customFormat="1" ht="18" customHeight="1">
      <c r="A182" s="1001"/>
      <c r="B182" s="1213">
        <v>39</v>
      </c>
      <c r="C182" s="1003" t="s">
        <v>494</v>
      </c>
      <c r="D182" s="1006"/>
      <c r="E182" s="1002"/>
      <c r="F182" s="966"/>
      <c r="G182" s="1367"/>
      <c r="H182" s="1087"/>
      <c r="I182" s="1067"/>
    </row>
    <row r="183" spans="1:9" s="936" customFormat="1" ht="18" customHeight="1">
      <c r="A183" s="1001"/>
      <c r="B183" s="1213">
        <v>40</v>
      </c>
      <c r="C183" s="1003" t="s">
        <v>494</v>
      </c>
      <c r="D183" s="1006"/>
      <c r="E183" s="1002"/>
      <c r="F183" s="966"/>
      <c r="G183" s="1367"/>
      <c r="H183" s="1087"/>
      <c r="I183" s="1067"/>
    </row>
    <row r="184" spans="1:9" s="936" customFormat="1" ht="18" customHeight="1">
      <c r="A184" s="1001"/>
      <c r="B184" s="1213">
        <v>41</v>
      </c>
      <c r="C184" s="1003" t="s">
        <v>494</v>
      </c>
      <c r="D184" s="1006"/>
      <c r="E184" s="992"/>
      <c r="F184" s="966"/>
      <c r="G184" s="1367"/>
      <c r="H184" s="1087"/>
      <c r="I184" s="1067"/>
    </row>
    <row r="185" spans="1:8" ht="18" customHeight="1">
      <c r="A185" s="1001"/>
      <c r="B185" s="1213">
        <v>42</v>
      </c>
      <c r="C185" s="1003" t="s">
        <v>494</v>
      </c>
      <c r="D185" s="1006"/>
      <c r="E185" s="992"/>
      <c r="F185" s="966"/>
      <c r="G185" s="1367"/>
      <c r="H185" s="1087"/>
    </row>
    <row r="186" spans="1:7" ht="9" customHeight="1">
      <c r="A186" s="1001"/>
      <c r="B186" s="992"/>
      <c r="C186" s="992"/>
      <c r="D186" s="992"/>
      <c r="E186" s="992"/>
      <c r="F186" s="1007"/>
      <c r="G186" s="963"/>
    </row>
    <row r="187" spans="1:9" s="886" customFormat="1" ht="30" customHeight="1">
      <c r="A187" s="956">
        <v>43</v>
      </c>
      <c r="B187" s="1383" t="s">
        <v>540</v>
      </c>
      <c r="C187" s="1383"/>
      <c r="D187" s="1383"/>
      <c r="E187" s="1383"/>
      <c r="F187" s="1384"/>
      <c r="G187" s="943">
        <v>25</v>
      </c>
      <c r="H187" s="1100"/>
      <c r="I187" s="1066"/>
    </row>
    <row r="188" spans="1:9" s="886" customFormat="1" ht="9" customHeight="1">
      <c r="A188" s="991"/>
      <c r="B188" s="992"/>
      <c r="C188" s="992"/>
      <c r="D188" s="992"/>
      <c r="E188" s="992"/>
      <c r="F188" s="1004"/>
      <c r="G188" s="1008"/>
      <c r="H188" s="1100"/>
      <c r="I188" s="1066"/>
    </row>
    <row r="189" spans="1:9" s="886" customFormat="1" ht="18" customHeight="1">
      <c r="A189" s="956">
        <v>45</v>
      </c>
      <c r="B189" s="1003" t="s">
        <v>494</v>
      </c>
      <c r="C189" s="992"/>
      <c r="D189" s="992"/>
      <c r="E189" s="992"/>
      <c r="F189" s="1004"/>
      <c r="G189" s="966"/>
      <c r="H189" s="1100"/>
      <c r="I189" s="1066"/>
    </row>
    <row r="190" spans="1:9" s="886" customFormat="1" ht="9" customHeight="1">
      <c r="A190" s="991"/>
      <c r="B190" s="992"/>
      <c r="C190" s="992"/>
      <c r="D190" s="992"/>
      <c r="E190" s="992"/>
      <c r="F190" s="1004"/>
      <c r="G190" s="1009"/>
      <c r="H190" s="1100"/>
      <c r="I190" s="1066"/>
    </row>
    <row r="191" spans="1:9" s="886" customFormat="1" ht="18" customHeight="1">
      <c r="A191" s="956">
        <v>46</v>
      </c>
      <c r="B191" s="1003" t="s">
        <v>494</v>
      </c>
      <c r="C191" s="992"/>
      <c r="D191" s="992"/>
      <c r="E191" s="992"/>
      <c r="F191" s="1004"/>
      <c r="G191" s="966"/>
      <c r="H191" s="1100"/>
      <c r="I191" s="1066"/>
    </row>
    <row r="192" spans="1:9" s="886" customFormat="1" ht="9" customHeight="1">
      <c r="A192" s="991"/>
      <c r="B192" s="992"/>
      <c r="C192" s="992"/>
      <c r="D192" s="992"/>
      <c r="E192" s="992"/>
      <c r="F192" s="1004"/>
      <c r="G192" s="1009"/>
      <c r="H192" s="1100"/>
      <c r="I192" s="1066"/>
    </row>
    <row r="193" spans="1:9" s="886" customFormat="1" ht="18" customHeight="1">
      <c r="A193" s="956">
        <v>47</v>
      </c>
      <c r="B193" s="1003" t="s">
        <v>494</v>
      </c>
      <c r="C193" s="992"/>
      <c r="D193" s="992"/>
      <c r="E193" s="992"/>
      <c r="F193" s="1004"/>
      <c r="G193" s="966"/>
      <c r="H193" s="1100"/>
      <c r="I193" s="1066"/>
    </row>
    <row r="194" spans="1:9" s="886" customFormat="1" ht="9" customHeight="1">
      <c r="A194" s="991"/>
      <c r="B194" s="992"/>
      <c r="C194" s="992"/>
      <c r="D194" s="992"/>
      <c r="E194" s="992"/>
      <c r="F194" s="1004"/>
      <c r="G194" s="1009"/>
      <c r="H194" s="1100"/>
      <c r="I194" s="1066"/>
    </row>
    <row r="195" spans="1:9" s="886" customFormat="1" ht="18" customHeight="1">
      <c r="A195" s="956">
        <v>48</v>
      </c>
      <c r="B195" s="1003" t="s">
        <v>494</v>
      </c>
      <c r="C195" s="992"/>
      <c r="D195" s="992"/>
      <c r="E195" s="992"/>
      <c r="F195" s="1004"/>
      <c r="G195" s="966"/>
      <c r="H195" s="1100"/>
      <c r="I195" s="1066"/>
    </row>
    <row r="196" spans="1:9" s="886" customFormat="1" ht="9" customHeight="1">
      <c r="A196" s="991"/>
      <c r="B196" s="992"/>
      <c r="C196" s="992"/>
      <c r="D196" s="992"/>
      <c r="E196" s="992"/>
      <c r="F196" s="1004"/>
      <c r="G196" s="1009"/>
      <c r="H196" s="1100"/>
      <c r="I196" s="1066"/>
    </row>
    <row r="197" spans="1:9" s="886" customFormat="1" ht="18" customHeight="1">
      <c r="A197" s="956">
        <v>49</v>
      </c>
      <c r="B197" s="1003" t="s">
        <v>494</v>
      </c>
      <c r="C197" s="992"/>
      <c r="D197" s="992"/>
      <c r="E197" s="992"/>
      <c r="F197" s="1004"/>
      <c r="G197" s="966"/>
      <c r="H197" s="1100"/>
      <c r="I197" s="1066"/>
    </row>
    <row r="198" spans="1:7" ht="9" customHeight="1">
      <c r="A198" s="991"/>
      <c r="B198" s="992"/>
      <c r="C198" s="992"/>
      <c r="D198" s="992"/>
      <c r="E198" s="992"/>
      <c r="F198" s="1004"/>
      <c r="G198" s="1009"/>
    </row>
    <row r="199" spans="1:9" s="869" customFormat="1" ht="18" customHeight="1">
      <c r="A199" s="956">
        <v>50</v>
      </c>
      <c r="B199" s="1003" t="s">
        <v>494</v>
      </c>
      <c r="C199" s="992"/>
      <c r="D199" s="992"/>
      <c r="E199" s="992"/>
      <c r="F199" s="1004"/>
      <c r="G199" s="966"/>
      <c r="H199" s="1102"/>
      <c r="I199" s="1066"/>
    </row>
    <row r="200" spans="1:7" ht="9" customHeight="1">
      <c r="A200" s="1058"/>
      <c r="B200" s="868"/>
      <c r="C200" s="868"/>
      <c r="D200" s="868"/>
      <c r="E200" s="868"/>
      <c r="F200" s="868"/>
      <c r="G200" s="906"/>
    </row>
    <row r="201" spans="1:11" ht="15" hidden="1">
      <c r="A201" s="807"/>
      <c r="C201" s="870"/>
      <c r="G201" s="883"/>
      <c r="H201" s="1103">
        <f>SUM(E13:G13,E15:G15,E17:G17,G20,G22,G24,G26,G28,G30,G32,G34,G39,G41,G43,G45,H48,H50,H52,H54,F57:G57,F59:G59,F61:G61,F63:G63,H67,H69,H71,H73,G76,G78,G80)</f>
        <v>962995</v>
      </c>
      <c r="I201" s="1104">
        <f>SUM(G82,G84,G86,H91,H93,H95,G98:G103,G106,G109:G110,G113:G114,G117:G118,G121:G122,G125:G126,G129:G130,G136:G139,G142,G144,G146,G148,G150,G152,G154,G156,G158,G160,G162,G164,H168,H170,H171)</f>
        <v>138205</v>
      </c>
      <c r="J201" s="1070">
        <f>SUM(F175:F178,H181,H182,H183,H184,H185,G187,G189,G191,G193,G195,G197,G199)</f>
        <v>25</v>
      </c>
      <c r="K201" s="1070">
        <f>SUM(H201:J201)</f>
        <v>1101225</v>
      </c>
    </row>
    <row r="202" spans="1:11" ht="15">
      <c r="A202" s="807"/>
      <c r="C202" s="870"/>
      <c r="G202" s="883"/>
      <c r="H202" s="1103"/>
      <c r="I202" s="1104"/>
      <c r="J202" s="1070"/>
      <c r="K202" s="1070"/>
    </row>
    <row r="203" spans="1:7" ht="18">
      <c r="A203" s="1010"/>
      <c r="B203" s="908" t="s">
        <v>506</v>
      </c>
      <c r="C203" s="909"/>
      <c r="D203" s="910"/>
      <c r="E203" s="910"/>
      <c r="F203" s="910"/>
      <c r="G203" s="911"/>
    </row>
    <row r="204" spans="1:7" ht="12">
      <c r="A204" s="1342"/>
      <c r="B204" s="1368"/>
      <c r="C204" s="1368"/>
      <c r="D204" s="1368"/>
      <c r="E204" s="1368"/>
      <c r="F204" s="1368"/>
      <c r="G204" s="1369"/>
    </row>
    <row r="205" spans="1:7" ht="12">
      <c r="A205" s="1370"/>
      <c r="B205" s="1371"/>
      <c r="C205" s="1371"/>
      <c r="D205" s="1371"/>
      <c r="E205" s="1371"/>
      <c r="F205" s="1371"/>
      <c r="G205" s="1372"/>
    </row>
    <row r="206" spans="1:7" ht="12">
      <c r="A206" s="1370"/>
      <c r="B206" s="1371"/>
      <c r="C206" s="1371"/>
      <c r="D206" s="1371"/>
      <c r="E206" s="1371"/>
      <c r="F206" s="1371"/>
      <c r="G206" s="1372"/>
    </row>
    <row r="207" spans="1:7" ht="12">
      <c r="A207" s="1370"/>
      <c r="B207" s="1371"/>
      <c r="C207" s="1371"/>
      <c r="D207" s="1371"/>
      <c r="E207" s="1371"/>
      <c r="F207" s="1371"/>
      <c r="G207" s="1372"/>
    </row>
    <row r="208" spans="1:7" ht="18" customHeight="1">
      <c r="A208" s="1370"/>
      <c r="B208" s="1371"/>
      <c r="C208" s="1371"/>
      <c r="D208" s="1371"/>
      <c r="E208" s="1371"/>
      <c r="F208" s="1371"/>
      <c r="G208" s="1372"/>
    </row>
    <row r="209" spans="1:7" ht="15" customHeight="1">
      <c r="A209" s="1373"/>
      <c r="B209" s="1374"/>
      <c r="C209" s="1374"/>
      <c r="D209" s="1374"/>
      <c r="E209" s="1374"/>
      <c r="F209" s="1374"/>
      <c r="G209" s="1375"/>
    </row>
    <row r="210" spans="1:7" ht="13.5" customHeight="1">
      <c r="A210" s="861"/>
      <c r="B210" s="861"/>
      <c r="C210" s="861"/>
      <c r="D210" s="861"/>
      <c r="E210" s="861"/>
      <c r="F210" s="861"/>
      <c r="G210" s="784"/>
    </row>
    <row r="211" spans="1:7" ht="76.5" customHeight="1" hidden="1">
      <c r="A211" s="930"/>
      <c r="B211" s="1011"/>
      <c r="C211" s="1012"/>
      <c r="D211" s="1012"/>
      <c r="E211" s="1012"/>
      <c r="F211" s="1012"/>
      <c r="G211" s="1012"/>
    </row>
    <row r="212" spans="1:7" ht="12.75" hidden="1">
      <c r="A212" s="861"/>
      <c r="B212" s="861"/>
      <c r="C212" s="861"/>
      <c r="D212" s="861"/>
      <c r="E212" s="861"/>
      <c r="F212" s="861"/>
      <c r="G212" s="784"/>
    </row>
    <row r="213" ht="12.75" hidden="1"/>
  </sheetData>
  <sheetProtection password="EA98" sheet="1" formatColumns="0" selectLockedCells="1"/>
  <mergeCells count="33">
    <mergeCell ref="B48:E48"/>
    <mergeCell ref="B187:F187"/>
    <mergeCell ref="B170:E170"/>
    <mergeCell ref="B106:F106"/>
    <mergeCell ref="B91:E91"/>
    <mergeCell ref="B56:E56"/>
    <mergeCell ref="B54:E54"/>
    <mergeCell ref="B150:F150"/>
    <mergeCell ref="B13:D13"/>
    <mergeCell ref="B17:D17"/>
    <mergeCell ref="B20:F20"/>
    <mergeCell ref="B22:F22"/>
    <mergeCell ref="B24:F24"/>
    <mergeCell ref="B41:F41"/>
    <mergeCell ref="B39:F39"/>
    <mergeCell ref="B26:F26"/>
    <mergeCell ref="G181:G185"/>
    <mergeCell ref="A204:G209"/>
    <mergeCell ref="B15:D15"/>
    <mergeCell ref="B104:F104"/>
    <mergeCell ref="G175:G178"/>
    <mergeCell ref="G171:G172"/>
    <mergeCell ref="E131:F131"/>
    <mergeCell ref="E132:F132"/>
    <mergeCell ref="B52:E52"/>
    <mergeCell ref="B50:E50"/>
    <mergeCell ref="J141:L145"/>
    <mergeCell ref="B142:F142"/>
    <mergeCell ref="B144:F144"/>
    <mergeCell ref="B146:F146"/>
    <mergeCell ref="B148:F148"/>
    <mergeCell ref="J104:L105"/>
    <mergeCell ref="J140:K140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ERRORE" error="INSERIRE UN ANNO VALIDO" sqref="G20 G15 G13 G17">
      <formula1>1990</formula1>
      <formula2>2020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ATTENZIONE" error="INSERIRE VALORI NUMERICI INTERI" sqref="G199 G22 G30 G32 G34 G39 G41 G129 G45 G106 G109 G113 G117 G121 G125 G24 G142 G144 G146 G148 G150 G152 G154 G156 G158 G160 G162 G164 F175:F178 G189 G191 G193 G195 G197">
      <formula1>0</formula1>
      <formula2>999999999999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ATTENZIONE" error="INSERIRE UNA PERCENTUALE VALIDA" sqref="G110 G122 G118 G114">
      <formula1>0</formula1>
      <formula2>100</formula2>
    </dataValidation>
  </dataValidations>
  <printOptions horizontalCentered="1"/>
  <pageMargins left="0" right="0" top="0.3937007874015748" bottom="0.1968503937007874" header="0.15748031496062992" footer="0.15748031496062992"/>
  <pageSetup fitToHeight="0" fitToWidth="0" horizontalDpi="300" verticalDpi="300" orientation="portrait" paperSize="9" scale="55" r:id="rId2"/>
  <rowBreaks count="2" manualBreakCount="2">
    <brk id="88" max="255" man="1"/>
    <brk id="165" max="255" man="1"/>
  </rowBreaks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M53"/>
  <sheetViews>
    <sheetView showGridLines="0" zoomScalePageLayoutView="0" workbookViewId="0" topLeftCell="A1">
      <pane xSplit="2" ySplit="5" topLeftCell="C7" activePane="bottomRight" state="frozen"/>
      <selection pane="topLeft" activeCell="E8" sqref="E8:G8"/>
      <selection pane="topRight" activeCell="E8" sqref="E8:G8"/>
      <selection pane="bottomLeft" activeCell="E8" sqref="E8:G8"/>
      <selection pane="bottomRight" activeCell="J8" sqref="J8"/>
    </sheetView>
  </sheetViews>
  <sheetFormatPr defaultColWidth="9.33203125" defaultRowHeight="10.5"/>
  <cols>
    <col min="1" max="1" width="37" style="5" customWidth="1"/>
    <col min="2" max="2" width="17.16015625" style="7" customWidth="1"/>
    <col min="3" max="13" width="12.83203125" style="5" customWidth="1"/>
    <col min="14" max="16384" width="9.33203125" style="5" customWidth="1"/>
  </cols>
  <sheetData>
    <row r="1" spans="1:13" ht="24.75" customHeight="1">
      <c r="A1" s="1392" t="s">
        <v>368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433" t="s">
        <v>362</v>
      </c>
      <c r="M1" s="491">
        <v>2009</v>
      </c>
    </row>
    <row r="2" spans="1:13" ht="30" customHeight="1" thickBot="1">
      <c r="A2" s="492"/>
      <c r="B2" s="493"/>
      <c r="C2" s="435"/>
      <c r="D2" s="435"/>
      <c r="E2" s="435"/>
      <c r="F2" s="435"/>
      <c r="G2" s="435"/>
      <c r="H2" s="435"/>
      <c r="I2" s="494"/>
      <c r="J2" s="1391"/>
      <c r="K2" s="1391"/>
      <c r="L2" s="1391"/>
      <c r="M2" s="1391"/>
    </row>
    <row r="3" spans="1:13" ht="15" customHeight="1" thickBot="1">
      <c r="A3" s="454"/>
      <c r="B3" s="455"/>
      <c r="C3" s="1389" t="s">
        <v>73</v>
      </c>
      <c r="D3" s="1389"/>
      <c r="E3" s="1389"/>
      <c r="F3" s="1389"/>
      <c r="G3" s="1389"/>
      <c r="H3" s="1389"/>
      <c r="I3" s="1389"/>
      <c r="J3" s="1389"/>
      <c r="K3" s="1389"/>
      <c r="L3" s="1389"/>
      <c r="M3" s="1390"/>
    </row>
    <row r="4" spans="1:13" ht="23.25" thickTop="1">
      <c r="A4" s="1393" t="s">
        <v>144</v>
      </c>
      <c r="B4" s="1395" t="s">
        <v>74</v>
      </c>
      <c r="C4" s="23" t="str">
        <f>"Totale dipendenti al 31/12/"&amp;M1-1&amp;" (*)"</f>
        <v>Totale dipendenti al 31/12/2008 (*)</v>
      </c>
      <c r="D4" s="22"/>
      <c r="E4" s="20" t="s">
        <v>75</v>
      </c>
      <c r="F4" s="21" t="s">
        <v>79</v>
      </c>
      <c r="G4" s="22"/>
      <c r="H4" s="23" t="s">
        <v>135</v>
      </c>
      <c r="I4" s="22"/>
      <c r="J4" s="23" t="s">
        <v>136</v>
      </c>
      <c r="K4" s="22"/>
      <c r="L4" s="23" t="str">
        <f>"Totale dipendenti al 31/12/"&amp;M1&amp;" (**)"</f>
        <v>Totale dipendenti al 31/12/2009 (**)</v>
      </c>
      <c r="M4" s="355"/>
    </row>
    <row r="5" spans="1:13" ht="12" thickBot="1">
      <c r="A5" s="1394"/>
      <c r="B5" s="1396"/>
      <c r="C5" s="285" t="s">
        <v>76</v>
      </c>
      <c r="D5" s="286" t="s">
        <v>77</v>
      </c>
      <c r="E5" s="287"/>
      <c r="F5" s="285" t="s">
        <v>76</v>
      </c>
      <c r="G5" s="286" t="s">
        <v>77</v>
      </c>
      <c r="H5" s="285" t="s">
        <v>76</v>
      </c>
      <c r="I5" s="286" t="s">
        <v>77</v>
      </c>
      <c r="J5" s="285" t="s">
        <v>76</v>
      </c>
      <c r="K5" s="286" t="s">
        <v>77</v>
      </c>
      <c r="L5" s="285" t="s">
        <v>76</v>
      </c>
      <c r="M5" s="356" t="s">
        <v>77</v>
      </c>
    </row>
    <row r="6" spans="1:13" ht="12.75" customHeight="1" thickTop="1">
      <c r="A6" s="168" t="s">
        <v>578</v>
      </c>
      <c r="B6" s="423" t="s">
        <v>389</v>
      </c>
      <c r="C6" s="386">
        <v>1</v>
      </c>
      <c r="D6" s="387"/>
      <c r="E6" s="385"/>
      <c r="F6" s="385">
        <v>1</v>
      </c>
      <c r="G6" s="294"/>
      <c r="H6" s="385"/>
      <c r="I6" s="294"/>
      <c r="J6" s="385"/>
      <c r="K6" s="294"/>
      <c r="L6" s="526">
        <f>F6+H6+J6</f>
        <v>1</v>
      </c>
      <c r="M6" s="527">
        <f>G6+I6+K6</f>
        <v>0</v>
      </c>
    </row>
    <row r="7" spans="1:13" ht="12.75" customHeight="1">
      <c r="A7" s="168" t="s">
        <v>579</v>
      </c>
      <c r="B7" s="424" t="s">
        <v>390</v>
      </c>
      <c r="C7" s="386"/>
      <c r="D7" s="387"/>
      <c r="E7" s="385"/>
      <c r="F7" s="385"/>
      <c r="G7" s="294"/>
      <c r="H7" s="385"/>
      <c r="I7" s="294"/>
      <c r="J7" s="385"/>
      <c r="K7" s="294"/>
      <c r="L7" s="526">
        <f aca="true" t="shared" si="0" ref="L7:L40">F7+H7+J7</f>
        <v>0</v>
      </c>
      <c r="M7" s="527">
        <f aca="true" t="shared" si="1" ref="M7:M40">G7+I7+K7</f>
        <v>0</v>
      </c>
    </row>
    <row r="8" spans="1:13" ht="12.75" customHeight="1">
      <c r="A8" s="168" t="s">
        <v>580</v>
      </c>
      <c r="B8" s="424" t="s">
        <v>391</v>
      </c>
      <c r="C8" s="386"/>
      <c r="D8" s="387"/>
      <c r="E8" s="385"/>
      <c r="F8" s="385"/>
      <c r="G8" s="294"/>
      <c r="H8" s="385"/>
      <c r="I8" s="294"/>
      <c r="J8" s="385"/>
      <c r="K8" s="294"/>
      <c r="L8" s="526">
        <f t="shared" si="0"/>
        <v>0</v>
      </c>
      <c r="M8" s="527">
        <f t="shared" si="1"/>
        <v>0</v>
      </c>
    </row>
    <row r="9" spans="1:13" ht="12.75" customHeight="1">
      <c r="A9" s="168" t="s">
        <v>665</v>
      </c>
      <c r="B9" s="424" t="s">
        <v>392</v>
      </c>
      <c r="C9" s="386"/>
      <c r="D9" s="387"/>
      <c r="E9" s="385"/>
      <c r="F9" s="385"/>
      <c r="G9" s="294"/>
      <c r="H9" s="385"/>
      <c r="I9" s="294"/>
      <c r="J9" s="385"/>
      <c r="K9" s="294"/>
      <c r="L9" s="526">
        <f t="shared" si="0"/>
        <v>0</v>
      </c>
      <c r="M9" s="527">
        <f t="shared" si="1"/>
        <v>0</v>
      </c>
    </row>
    <row r="10" spans="1:13" ht="12.75" customHeight="1">
      <c r="A10" s="168" t="s">
        <v>581</v>
      </c>
      <c r="B10" s="424" t="s">
        <v>393</v>
      </c>
      <c r="C10" s="386"/>
      <c r="D10" s="387"/>
      <c r="E10" s="385"/>
      <c r="F10" s="385"/>
      <c r="G10" s="294"/>
      <c r="H10" s="385"/>
      <c r="I10" s="294"/>
      <c r="J10" s="385"/>
      <c r="K10" s="294"/>
      <c r="L10" s="526">
        <f t="shared" si="0"/>
        <v>0</v>
      </c>
      <c r="M10" s="527">
        <f t="shared" si="1"/>
        <v>0</v>
      </c>
    </row>
    <row r="11" spans="1:13" ht="12.75" customHeight="1">
      <c r="A11" s="168" t="s">
        <v>582</v>
      </c>
      <c r="B11" s="424" t="s">
        <v>394</v>
      </c>
      <c r="C11" s="386"/>
      <c r="D11" s="387"/>
      <c r="E11" s="385"/>
      <c r="F11" s="385"/>
      <c r="G11" s="294"/>
      <c r="H11" s="385"/>
      <c r="I11" s="294"/>
      <c r="J11" s="385"/>
      <c r="K11" s="294"/>
      <c r="L11" s="526">
        <f t="shared" si="0"/>
        <v>0</v>
      </c>
      <c r="M11" s="527">
        <f t="shared" si="1"/>
        <v>0</v>
      </c>
    </row>
    <row r="12" spans="1:13" ht="12.75" customHeight="1">
      <c r="A12" s="168" t="s">
        <v>583</v>
      </c>
      <c r="B12" s="424" t="s">
        <v>395</v>
      </c>
      <c r="C12" s="386"/>
      <c r="D12" s="387"/>
      <c r="E12" s="385"/>
      <c r="F12" s="385"/>
      <c r="G12" s="294"/>
      <c r="H12" s="385"/>
      <c r="I12" s="294"/>
      <c r="J12" s="385"/>
      <c r="K12" s="294"/>
      <c r="L12" s="526">
        <f t="shared" si="0"/>
        <v>0</v>
      </c>
      <c r="M12" s="527">
        <f t="shared" si="1"/>
        <v>0</v>
      </c>
    </row>
    <row r="13" spans="1:13" ht="12.75" customHeight="1">
      <c r="A13" s="168" t="s">
        <v>584</v>
      </c>
      <c r="B13" s="424" t="s">
        <v>396</v>
      </c>
      <c r="C13" s="386">
        <v>1</v>
      </c>
      <c r="D13" s="387">
        <v>1</v>
      </c>
      <c r="E13" s="385">
        <v>4</v>
      </c>
      <c r="F13" s="385"/>
      <c r="G13" s="294">
        <v>1</v>
      </c>
      <c r="H13" s="385"/>
      <c r="I13" s="294"/>
      <c r="J13" s="385"/>
      <c r="K13" s="294"/>
      <c r="L13" s="526">
        <f t="shared" si="0"/>
        <v>0</v>
      </c>
      <c r="M13" s="527">
        <f t="shared" si="1"/>
        <v>1</v>
      </c>
    </row>
    <row r="14" spans="1:13" ht="12.75" customHeight="1">
      <c r="A14" s="168" t="s">
        <v>585</v>
      </c>
      <c r="B14" s="424" t="s">
        <v>397</v>
      </c>
      <c r="C14" s="386"/>
      <c r="D14" s="387"/>
      <c r="E14" s="385">
        <v>14</v>
      </c>
      <c r="F14" s="385">
        <v>10</v>
      </c>
      <c r="G14" s="294"/>
      <c r="H14" s="385"/>
      <c r="I14" s="294"/>
      <c r="J14" s="385"/>
      <c r="K14" s="294"/>
      <c r="L14" s="526">
        <f t="shared" si="0"/>
        <v>10</v>
      </c>
      <c r="M14" s="527">
        <f t="shared" si="1"/>
        <v>0</v>
      </c>
    </row>
    <row r="15" spans="1:13" ht="12.75" customHeight="1">
      <c r="A15" s="168" t="s">
        <v>586</v>
      </c>
      <c r="B15" s="424" t="s">
        <v>398</v>
      </c>
      <c r="C15" s="386">
        <v>6</v>
      </c>
      <c r="D15" s="387">
        <v>3</v>
      </c>
      <c r="E15" s="385"/>
      <c r="F15" s="385">
        <v>5</v>
      </c>
      <c r="G15" s="294">
        <v>3</v>
      </c>
      <c r="H15" s="385"/>
      <c r="I15" s="294"/>
      <c r="J15" s="385"/>
      <c r="K15" s="294"/>
      <c r="L15" s="526">
        <f t="shared" si="0"/>
        <v>5</v>
      </c>
      <c r="M15" s="527">
        <f t="shared" si="1"/>
        <v>3</v>
      </c>
    </row>
    <row r="16" spans="1:13" ht="12.75" customHeight="1">
      <c r="A16" s="168" t="s">
        <v>587</v>
      </c>
      <c r="B16" s="424" t="s">
        <v>306</v>
      </c>
      <c r="C16" s="386"/>
      <c r="D16" s="387"/>
      <c r="E16" s="385"/>
      <c r="F16" s="385"/>
      <c r="G16" s="294"/>
      <c r="H16" s="385"/>
      <c r="I16" s="294"/>
      <c r="J16" s="385"/>
      <c r="K16" s="294"/>
      <c r="L16" s="526">
        <f t="shared" si="0"/>
        <v>0</v>
      </c>
      <c r="M16" s="527">
        <f t="shared" si="1"/>
        <v>0</v>
      </c>
    </row>
    <row r="17" spans="1:13" ht="12.75" customHeight="1">
      <c r="A17" s="168" t="s">
        <v>588</v>
      </c>
      <c r="B17" s="424" t="s">
        <v>399</v>
      </c>
      <c r="C17" s="386">
        <v>11</v>
      </c>
      <c r="D17" s="387">
        <v>2</v>
      </c>
      <c r="E17" s="385"/>
      <c r="F17" s="385">
        <v>6</v>
      </c>
      <c r="G17" s="294">
        <v>2</v>
      </c>
      <c r="H17" s="385"/>
      <c r="I17" s="294"/>
      <c r="J17" s="385"/>
      <c r="K17" s="294"/>
      <c r="L17" s="526">
        <f t="shared" si="0"/>
        <v>6</v>
      </c>
      <c r="M17" s="527">
        <f t="shared" si="1"/>
        <v>2</v>
      </c>
    </row>
    <row r="18" spans="1:13" ht="12.75" customHeight="1">
      <c r="A18" s="168" t="s">
        <v>589</v>
      </c>
      <c r="B18" s="424" t="s">
        <v>400</v>
      </c>
      <c r="C18" s="386">
        <v>1</v>
      </c>
      <c r="D18" s="387"/>
      <c r="E18" s="385"/>
      <c r="F18" s="385">
        <v>1</v>
      </c>
      <c r="G18" s="294"/>
      <c r="H18" s="385"/>
      <c r="I18" s="294"/>
      <c r="J18" s="385"/>
      <c r="K18" s="294"/>
      <c r="L18" s="526">
        <f t="shared" si="0"/>
        <v>1</v>
      </c>
      <c r="M18" s="527">
        <f t="shared" si="1"/>
        <v>0</v>
      </c>
    </row>
    <row r="19" spans="1:13" ht="12.75" customHeight="1">
      <c r="A19" s="168" t="s">
        <v>590</v>
      </c>
      <c r="B19" s="424" t="s">
        <v>401</v>
      </c>
      <c r="C19" s="386">
        <v>12</v>
      </c>
      <c r="D19" s="388">
        <v>5</v>
      </c>
      <c r="E19" s="385"/>
      <c r="F19" s="385">
        <v>9</v>
      </c>
      <c r="G19" s="294">
        <v>5</v>
      </c>
      <c r="H19" s="385"/>
      <c r="I19" s="294"/>
      <c r="J19" s="385"/>
      <c r="K19" s="298"/>
      <c r="L19" s="526">
        <f t="shared" si="0"/>
        <v>9</v>
      </c>
      <c r="M19" s="527">
        <f t="shared" si="1"/>
        <v>5</v>
      </c>
    </row>
    <row r="20" spans="1:13" ht="12.75" customHeight="1">
      <c r="A20" s="168" t="s">
        <v>591</v>
      </c>
      <c r="B20" s="424" t="s">
        <v>369</v>
      </c>
      <c r="C20" s="386">
        <v>3</v>
      </c>
      <c r="D20" s="387"/>
      <c r="E20" s="385"/>
      <c r="F20" s="385">
        <v>3</v>
      </c>
      <c r="G20" s="294"/>
      <c r="H20" s="385"/>
      <c r="I20" s="294"/>
      <c r="J20" s="385"/>
      <c r="K20" s="294"/>
      <c r="L20" s="526">
        <f t="shared" si="0"/>
        <v>3</v>
      </c>
      <c r="M20" s="527">
        <f t="shared" si="1"/>
        <v>0</v>
      </c>
    </row>
    <row r="21" spans="1:13" ht="12.75" customHeight="1">
      <c r="A21" s="168" t="s">
        <v>592</v>
      </c>
      <c r="B21" s="425" t="s">
        <v>370</v>
      </c>
      <c r="C21" s="386">
        <v>2</v>
      </c>
      <c r="D21" s="387">
        <v>1</v>
      </c>
      <c r="E21" s="385">
        <v>38</v>
      </c>
      <c r="F21" s="385">
        <v>1</v>
      </c>
      <c r="G21" s="294">
        <v>1</v>
      </c>
      <c r="H21" s="385"/>
      <c r="I21" s="294"/>
      <c r="J21" s="385"/>
      <c r="K21" s="294"/>
      <c r="L21" s="526">
        <f t="shared" si="0"/>
        <v>1</v>
      </c>
      <c r="M21" s="527">
        <f t="shared" si="1"/>
        <v>1</v>
      </c>
    </row>
    <row r="22" spans="1:13" ht="12.75" customHeight="1">
      <c r="A22" s="168" t="s">
        <v>593</v>
      </c>
      <c r="B22" s="425" t="s">
        <v>307</v>
      </c>
      <c r="C22" s="386">
        <v>8</v>
      </c>
      <c r="D22" s="387">
        <v>4</v>
      </c>
      <c r="E22" s="385"/>
      <c r="F22" s="385">
        <v>8</v>
      </c>
      <c r="G22" s="294">
        <v>4</v>
      </c>
      <c r="H22" s="385"/>
      <c r="I22" s="294"/>
      <c r="J22" s="385"/>
      <c r="K22" s="294"/>
      <c r="L22" s="526">
        <f t="shared" si="0"/>
        <v>8</v>
      </c>
      <c r="M22" s="527">
        <f t="shared" si="1"/>
        <v>4</v>
      </c>
    </row>
    <row r="23" spans="1:13" ht="12.75" customHeight="1">
      <c r="A23" s="168" t="s">
        <v>594</v>
      </c>
      <c r="B23" s="425" t="s">
        <v>308</v>
      </c>
      <c r="C23" s="386">
        <v>33</v>
      </c>
      <c r="D23" s="387">
        <v>7</v>
      </c>
      <c r="E23" s="385"/>
      <c r="F23" s="385">
        <v>33</v>
      </c>
      <c r="G23" s="294">
        <v>7</v>
      </c>
      <c r="H23" s="385"/>
      <c r="I23" s="294"/>
      <c r="J23" s="385"/>
      <c r="K23" s="294"/>
      <c r="L23" s="526">
        <f t="shared" si="0"/>
        <v>33</v>
      </c>
      <c r="M23" s="527">
        <f t="shared" si="1"/>
        <v>7</v>
      </c>
    </row>
    <row r="24" spans="1:13" ht="12.75" customHeight="1">
      <c r="A24" s="168" t="s">
        <v>595</v>
      </c>
      <c r="B24" s="425" t="s">
        <v>371</v>
      </c>
      <c r="C24" s="386">
        <v>2</v>
      </c>
      <c r="D24" s="387">
        <v>1</v>
      </c>
      <c r="E24" s="385">
        <v>54</v>
      </c>
      <c r="F24" s="385">
        <v>2</v>
      </c>
      <c r="G24" s="294">
        <v>1</v>
      </c>
      <c r="H24" s="385"/>
      <c r="I24" s="294"/>
      <c r="J24" s="385"/>
      <c r="K24" s="294"/>
      <c r="L24" s="526">
        <f t="shared" si="0"/>
        <v>2</v>
      </c>
      <c r="M24" s="527">
        <f t="shared" si="1"/>
        <v>1</v>
      </c>
    </row>
    <row r="25" spans="1:13" ht="12.75" customHeight="1">
      <c r="A25" s="168" t="s">
        <v>596</v>
      </c>
      <c r="B25" s="424" t="s">
        <v>309</v>
      </c>
      <c r="C25" s="386">
        <v>4</v>
      </c>
      <c r="D25" s="387">
        <v>1</v>
      </c>
      <c r="E25" s="385"/>
      <c r="F25" s="385">
        <v>4</v>
      </c>
      <c r="G25" s="294"/>
      <c r="H25" s="385"/>
      <c r="I25" s="294"/>
      <c r="J25" s="385"/>
      <c r="K25" s="294"/>
      <c r="L25" s="526">
        <f t="shared" si="0"/>
        <v>4</v>
      </c>
      <c r="M25" s="527">
        <f t="shared" si="1"/>
        <v>0</v>
      </c>
    </row>
    <row r="26" spans="1:13" ht="12.75" customHeight="1">
      <c r="A26" s="168" t="s">
        <v>597</v>
      </c>
      <c r="B26" s="424" t="s">
        <v>310</v>
      </c>
      <c r="C26" s="386">
        <v>17</v>
      </c>
      <c r="D26" s="387">
        <v>3</v>
      </c>
      <c r="E26" s="385"/>
      <c r="F26" s="385">
        <v>17</v>
      </c>
      <c r="G26" s="294">
        <v>3</v>
      </c>
      <c r="H26" s="385"/>
      <c r="I26" s="294"/>
      <c r="J26" s="385"/>
      <c r="K26" s="294"/>
      <c r="L26" s="526">
        <f t="shared" si="0"/>
        <v>17</v>
      </c>
      <c r="M26" s="527">
        <f t="shared" si="1"/>
        <v>3</v>
      </c>
    </row>
    <row r="27" spans="1:13" ht="12.75" customHeight="1">
      <c r="A27" s="24" t="s">
        <v>598</v>
      </c>
      <c r="B27" s="424" t="s">
        <v>311</v>
      </c>
      <c r="C27" s="386">
        <v>18</v>
      </c>
      <c r="D27" s="387">
        <v>13</v>
      </c>
      <c r="E27" s="385"/>
      <c r="F27" s="385">
        <v>18</v>
      </c>
      <c r="G27" s="294">
        <v>13</v>
      </c>
      <c r="H27" s="385"/>
      <c r="I27" s="294"/>
      <c r="J27" s="385"/>
      <c r="K27" s="294"/>
      <c r="L27" s="526">
        <f t="shared" si="0"/>
        <v>18</v>
      </c>
      <c r="M27" s="527">
        <f t="shared" si="1"/>
        <v>13</v>
      </c>
    </row>
    <row r="28" spans="1:13" ht="12.75" customHeight="1">
      <c r="A28" s="168" t="s">
        <v>599</v>
      </c>
      <c r="B28" s="425" t="s">
        <v>312</v>
      </c>
      <c r="C28" s="386">
        <v>23</v>
      </c>
      <c r="D28" s="387">
        <v>16</v>
      </c>
      <c r="E28" s="385"/>
      <c r="F28" s="385">
        <v>23</v>
      </c>
      <c r="G28" s="294">
        <v>16</v>
      </c>
      <c r="H28" s="385"/>
      <c r="I28" s="294"/>
      <c r="J28" s="385"/>
      <c r="K28" s="294"/>
      <c r="L28" s="526">
        <f t="shared" si="0"/>
        <v>23</v>
      </c>
      <c r="M28" s="527">
        <f t="shared" si="1"/>
        <v>16</v>
      </c>
    </row>
    <row r="29" spans="1:13" ht="12.75" customHeight="1">
      <c r="A29" s="168" t="s">
        <v>600</v>
      </c>
      <c r="B29" s="425" t="s">
        <v>372</v>
      </c>
      <c r="C29" s="386">
        <v>1</v>
      </c>
      <c r="D29" s="387"/>
      <c r="E29" s="385">
        <v>97</v>
      </c>
      <c r="F29" s="385"/>
      <c r="G29" s="294"/>
      <c r="H29" s="385"/>
      <c r="I29" s="294"/>
      <c r="J29" s="385"/>
      <c r="K29" s="294"/>
      <c r="L29" s="526">
        <f t="shared" si="0"/>
        <v>0</v>
      </c>
      <c r="M29" s="527">
        <f t="shared" si="1"/>
        <v>0</v>
      </c>
    </row>
    <row r="30" spans="1:13" ht="12.75" customHeight="1">
      <c r="A30" s="168" t="s">
        <v>601</v>
      </c>
      <c r="B30" s="424" t="s">
        <v>373</v>
      </c>
      <c r="C30" s="386"/>
      <c r="D30" s="387"/>
      <c r="E30" s="385"/>
      <c r="F30" s="385"/>
      <c r="G30" s="294"/>
      <c r="H30" s="385"/>
      <c r="I30" s="294"/>
      <c r="J30" s="385"/>
      <c r="K30" s="294"/>
      <c r="L30" s="526">
        <f t="shared" si="0"/>
        <v>0</v>
      </c>
      <c r="M30" s="527">
        <f t="shared" si="1"/>
        <v>0</v>
      </c>
    </row>
    <row r="31" spans="1:13" ht="12.75" customHeight="1">
      <c r="A31" s="168" t="s">
        <v>602</v>
      </c>
      <c r="B31" s="424" t="s">
        <v>374</v>
      </c>
      <c r="C31" s="386"/>
      <c r="D31" s="387"/>
      <c r="E31" s="385"/>
      <c r="F31" s="385"/>
      <c r="G31" s="294"/>
      <c r="H31" s="385"/>
      <c r="I31" s="294"/>
      <c r="J31" s="385"/>
      <c r="K31" s="294"/>
      <c r="L31" s="526">
        <f t="shared" si="0"/>
        <v>0</v>
      </c>
      <c r="M31" s="527">
        <f t="shared" si="1"/>
        <v>0</v>
      </c>
    </row>
    <row r="32" spans="1:13" ht="12.75" customHeight="1">
      <c r="A32" s="168" t="s">
        <v>603</v>
      </c>
      <c r="B32" s="424" t="s">
        <v>375</v>
      </c>
      <c r="C32" s="386"/>
      <c r="D32" s="387"/>
      <c r="E32" s="385"/>
      <c r="F32" s="385"/>
      <c r="G32" s="294"/>
      <c r="H32" s="385"/>
      <c r="I32" s="294"/>
      <c r="J32" s="385"/>
      <c r="K32" s="294"/>
      <c r="L32" s="526">
        <f t="shared" si="0"/>
        <v>0</v>
      </c>
      <c r="M32" s="527">
        <f t="shared" si="1"/>
        <v>0</v>
      </c>
    </row>
    <row r="33" spans="1:13" ht="12.75" customHeight="1">
      <c r="A33" s="168" t="s">
        <v>604</v>
      </c>
      <c r="B33" s="424" t="s">
        <v>376</v>
      </c>
      <c r="C33" s="386"/>
      <c r="D33" s="387"/>
      <c r="E33" s="385"/>
      <c r="F33" s="385"/>
      <c r="G33" s="294"/>
      <c r="H33" s="385"/>
      <c r="I33" s="294"/>
      <c r="J33" s="385"/>
      <c r="K33" s="294"/>
      <c r="L33" s="526">
        <f t="shared" si="0"/>
        <v>0</v>
      </c>
      <c r="M33" s="527">
        <f t="shared" si="1"/>
        <v>0</v>
      </c>
    </row>
    <row r="34" spans="1:13" ht="12.75" customHeight="1">
      <c r="A34" s="168" t="s">
        <v>605</v>
      </c>
      <c r="B34" s="424" t="s">
        <v>377</v>
      </c>
      <c r="C34" s="386"/>
      <c r="D34" s="387"/>
      <c r="E34" s="385"/>
      <c r="F34" s="385">
        <v>1</v>
      </c>
      <c r="G34" s="294"/>
      <c r="H34" s="385"/>
      <c r="I34" s="294"/>
      <c r="J34" s="385"/>
      <c r="K34" s="294"/>
      <c r="L34" s="526">
        <f t="shared" si="0"/>
        <v>1</v>
      </c>
      <c r="M34" s="527">
        <f t="shared" si="1"/>
        <v>0</v>
      </c>
    </row>
    <row r="35" spans="1:13" ht="12.75" customHeight="1">
      <c r="A35" s="168" t="s">
        <v>606</v>
      </c>
      <c r="B35" s="425" t="s">
        <v>378</v>
      </c>
      <c r="C35" s="386"/>
      <c r="D35" s="387"/>
      <c r="E35" s="385"/>
      <c r="F35" s="385"/>
      <c r="G35" s="294"/>
      <c r="H35" s="385"/>
      <c r="I35" s="294"/>
      <c r="J35" s="385"/>
      <c r="K35" s="294"/>
      <c r="L35" s="526">
        <f t="shared" si="0"/>
        <v>0</v>
      </c>
      <c r="M35" s="527">
        <f t="shared" si="1"/>
        <v>0</v>
      </c>
    </row>
    <row r="36" spans="1:13" ht="12.75" customHeight="1">
      <c r="A36" s="168" t="s">
        <v>607</v>
      </c>
      <c r="B36" s="425" t="s">
        <v>379</v>
      </c>
      <c r="C36" s="386">
        <v>31</v>
      </c>
      <c r="D36" s="387"/>
      <c r="E36" s="385"/>
      <c r="F36" s="385">
        <v>30</v>
      </c>
      <c r="G36" s="294"/>
      <c r="H36" s="385"/>
      <c r="I36" s="294"/>
      <c r="J36" s="385"/>
      <c r="K36" s="294"/>
      <c r="L36" s="526">
        <f t="shared" si="0"/>
        <v>30</v>
      </c>
      <c r="M36" s="527">
        <f t="shared" si="1"/>
        <v>0</v>
      </c>
    </row>
    <row r="37" spans="1:13" ht="12.75" customHeight="1">
      <c r="A37" s="168" t="s">
        <v>608</v>
      </c>
      <c r="B37" s="424" t="s">
        <v>380</v>
      </c>
      <c r="C37" s="386">
        <v>1</v>
      </c>
      <c r="D37" s="387">
        <v>1</v>
      </c>
      <c r="E37" s="385"/>
      <c r="F37" s="385">
        <v>1</v>
      </c>
      <c r="G37" s="294">
        <v>1</v>
      </c>
      <c r="H37" s="385"/>
      <c r="I37" s="294"/>
      <c r="J37" s="385"/>
      <c r="K37" s="294"/>
      <c r="L37" s="526">
        <f t="shared" si="0"/>
        <v>1</v>
      </c>
      <c r="M37" s="527">
        <f t="shared" si="1"/>
        <v>1</v>
      </c>
    </row>
    <row r="38" spans="1:13" ht="12.75" customHeight="1">
      <c r="A38" s="168" t="s">
        <v>609</v>
      </c>
      <c r="B38" s="424" t="s">
        <v>381</v>
      </c>
      <c r="C38" s="386">
        <v>13</v>
      </c>
      <c r="D38" s="387"/>
      <c r="E38" s="385">
        <v>50</v>
      </c>
      <c r="F38" s="385">
        <v>12</v>
      </c>
      <c r="G38" s="294"/>
      <c r="H38" s="385"/>
      <c r="I38" s="294"/>
      <c r="J38" s="385"/>
      <c r="K38" s="294"/>
      <c r="L38" s="526">
        <f t="shared" si="0"/>
        <v>12</v>
      </c>
      <c r="M38" s="527">
        <f t="shared" si="1"/>
        <v>0</v>
      </c>
    </row>
    <row r="39" spans="1:13" ht="12.75" customHeight="1">
      <c r="A39" s="168" t="s">
        <v>610</v>
      </c>
      <c r="B39" s="424" t="s">
        <v>313</v>
      </c>
      <c r="C39" s="386">
        <v>8</v>
      </c>
      <c r="D39" s="387">
        <v>5</v>
      </c>
      <c r="E39" s="385"/>
      <c r="F39" s="385">
        <v>8</v>
      </c>
      <c r="G39" s="294">
        <v>5</v>
      </c>
      <c r="H39" s="385"/>
      <c r="I39" s="294"/>
      <c r="J39" s="385"/>
      <c r="K39" s="294"/>
      <c r="L39" s="526">
        <f t="shared" si="0"/>
        <v>8</v>
      </c>
      <c r="M39" s="527">
        <f t="shared" si="1"/>
        <v>5</v>
      </c>
    </row>
    <row r="40" spans="1:13" ht="12.75" customHeight="1">
      <c r="A40" s="168" t="s">
        <v>611</v>
      </c>
      <c r="B40" s="424" t="s">
        <v>314</v>
      </c>
      <c r="C40" s="386">
        <v>4</v>
      </c>
      <c r="D40" s="387">
        <v>6</v>
      </c>
      <c r="E40" s="385"/>
      <c r="F40" s="385">
        <v>4</v>
      </c>
      <c r="G40" s="294">
        <v>6</v>
      </c>
      <c r="H40" s="385"/>
      <c r="I40" s="294"/>
      <c r="J40" s="385"/>
      <c r="K40" s="294"/>
      <c r="L40" s="526">
        <f t="shared" si="0"/>
        <v>4</v>
      </c>
      <c r="M40" s="527">
        <f t="shared" si="1"/>
        <v>6</v>
      </c>
    </row>
    <row r="41" spans="1:13" ht="12.75" customHeight="1">
      <c r="A41" s="168" t="s">
        <v>612</v>
      </c>
      <c r="B41" s="424" t="s">
        <v>382</v>
      </c>
      <c r="C41" s="386"/>
      <c r="D41" s="387">
        <v>1</v>
      </c>
      <c r="E41" s="385">
        <v>20</v>
      </c>
      <c r="F41" s="385"/>
      <c r="G41" s="294">
        <v>1</v>
      </c>
      <c r="H41" s="385"/>
      <c r="I41" s="294"/>
      <c r="J41" s="385"/>
      <c r="K41" s="294"/>
      <c r="L41" s="526">
        <f aca="true" t="shared" si="2" ref="L41:L48">F41+H41+J41</f>
        <v>0</v>
      </c>
      <c r="M41" s="527">
        <f aca="true" t="shared" si="3" ref="M41:M48">G41+I41+K41</f>
        <v>1</v>
      </c>
    </row>
    <row r="42" spans="1:13" ht="12.75" customHeight="1">
      <c r="A42" s="168" t="s">
        <v>613</v>
      </c>
      <c r="B42" s="425" t="s">
        <v>383</v>
      </c>
      <c r="C42" s="386"/>
      <c r="D42" s="387"/>
      <c r="E42" s="385"/>
      <c r="F42" s="385"/>
      <c r="G42" s="294"/>
      <c r="H42" s="385"/>
      <c r="I42" s="294"/>
      <c r="J42" s="385"/>
      <c r="K42" s="294"/>
      <c r="L42" s="526">
        <f t="shared" si="2"/>
        <v>0</v>
      </c>
      <c r="M42" s="527">
        <f t="shared" si="3"/>
        <v>0</v>
      </c>
    </row>
    <row r="43" spans="1:13" ht="12.75" customHeight="1">
      <c r="A43" s="168" t="s">
        <v>614</v>
      </c>
      <c r="B43" s="425" t="s">
        <v>384</v>
      </c>
      <c r="C43" s="386"/>
      <c r="D43" s="387"/>
      <c r="E43" s="385"/>
      <c r="F43" s="385"/>
      <c r="G43" s="294"/>
      <c r="H43" s="385"/>
      <c r="I43" s="294"/>
      <c r="J43" s="385"/>
      <c r="K43" s="294"/>
      <c r="L43" s="526">
        <f t="shared" si="2"/>
        <v>0</v>
      </c>
      <c r="M43" s="527">
        <f t="shared" si="3"/>
        <v>0</v>
      </c>
    </row>
    <row r="44" spans="1:13" ht="12.75" customHeight="1">
      <c r="A44" s="168" t="s">
        <v>615</v>
      </c>
      <c r="B44" s="424" t="s">
        <v>385</v>
      </c>
      <c r="C44" s="386"/>
      <c r="D44" s="387"/>
      <c r="E44" s="385"/>
      <c r="F44" s="385"/>
      <c r="G44" s="294"/>
      <c r="H44" s="385"/>
      <c r="I44" s="294"/>
      <c r="J44" s="385"/>
      <c r="K44" s="294"/>
      <c r="L44" s="526">
        <f t="shared" si="2"/>
        <v>0</v>
      </c>
      <c r="M44" s="527">
        <f t="shared" si="3"/>
        <v>0</v>
      </c>
    </row>
    <row r="45" spans="1:13" ht="12.75" customHeight="1">
      <c r="A45" s="168" t="s">
        <v>616</v>
      </c>
      <c r="B45" s="424" t="s">
        <v>386</v>
      </c>
      <c r="C45" s="386"/>
      <c r="D45" s="387"/>
      <c r="E45" s="385"/>
      <c r="F45" s="385"/>
      <c r="G45" s="294"/>
      <c r="H45" s="385"/>
      <c r="I45" s="294"/>
      <c r="J45" s="385"/>
      <c r="K45" s="294"/>
      <c r="L45" s="526">
        <f t="shared" si="2"/>
        <v>0</v>
      </c>
      <c r="M45" s="527">
        <f t="shared" si="3"/>
        <v>0</v>
      </c>
    </row>
    <row r="46" spans="1:13" ht="12.75" customHeight="1">
      <c r="A46" s="168" t="s">
        <v>617</v>
      </c>
      <c r="B46" s="426" t="s">
        <v>387</v>
      </c>
      <c r="C46" s="386">
        <v>1</v>
      </c>
      <c r="D46" s="387"/>
      <c r="E46" s="385">
        <v>15</v>
      </c>
      <c r="F46" s="385">
        <v>1</v>
      </c>
      <c r="G46" s="294"/>
      <c r="H46" s="385"/>
      <c r="I46" s="294"/>
      <c r="J46" s="385"/>
      <c r="K46" s="294"/>
      <c r="L46" s="526">
        <f t="shared" si="2"/>
        <v>1</v>
      </c>
      <c r="M46" s="527">
        <f t="shared" si="3"/>
        <v>0</v>
      </c>
    </row>
    <row r="47" spans="1:13" ht="12.75" customHeight="1">
      <c r="A47" s="168" t="s">
        <v>618</v>
      </c>
      <c r="B47" s="426" t="s">
        <v>315</v>
      </c>
      <c r="C47" s="386">
        <v>2</v>
      </c>
      <c r="D47" s="387"/>
      <c r="E47" s="385"/>
      <c r="F47" s="385">
        <v>2</v>
      </c>
      <c r="G47" s="294"/>
      <c r="H47" s="385"/>
      <c r="I47" s="294"/>
      <c r="J47" s="385"/>
      <c r="K47" s="294"/>
      <c r="L47" s="526">
        <f t="shared" si="2"/>
        <v>2</v>
      </c>
      <c r="M47" s="527">
        <f t="shared" si="3"/>
        <v>0</v>
      </c>
    </row>
    <row r="48" spans="1:13" ht="12.75" customHeight="1" thickBot="1">
      <c r="A48" s="168" t="s">
        <v>619</v>
      </c>
      <c r="B48" s="426" t="s">
        <v>388</v>
      </c>
      <c r="C48" s="386"/>
      <c r="D48" s="387"/>
      <c r="E48" s="385"/>
      <c r="F48" s="385"/>
      <c r="G48" s="294"/>
      <c r="H48" s="385"/>
      <c r="I48" s="294"/>
      <c r="J48" s="385"/>
      <c r="K48" s="294"/>
      <c r="L48" s="526">
        <f t="shared" si="2"/>
        <v>0</v>
      </c>
      <c r="M48" s="527">
        <f t="shared" si="3"/>
        <v>0</v>
      </c>
    </row>
    <row r="49" spans="1:13" ht="15.75" customHeight="1" thickBot="1" thickTop="1">
      <c r="A49" s="354" t="s">
        <v>78</v>
      </c>
      <c r="B49" s="16"/>
      <c r="C49" s="528">
        <f aca="true" t="shared" si="4" ref="C49:M49">SUM(C6:C48)</f>
        <v>203</v>
      </c>
      <c r="D49" s="529">
        <f t="shared" si="4"/>
        <v>70</v>
      </c>
      <c r="E49" s="528">
        <f t="shared" si="4"/>
        <v>292</v>
      </c>
      <c r="F49" s="528">
        <f t="shared" si="4"/>
        <v>200</v>
      </c>
      <c r="G49" s="529">
        <f t="shared" si="4"/>
        <v>69</v>
      </c>
      <c r="H49" s="528">
        <f t="shared" si="4"/>
        <v>0</v>
      </c>
      <c r="I49" s="529">
        <f t="shared" si="4"/>
        <v>0</v>
      </c>
      <c r="J49" s="528">
        <f t="shared" si="4"/>
        <v>0</v>
      </c>
      <c r="K49" s="529">
        <f t="shared" si="4"/>
        <v>0</v>
      </c>
      <c r="L49" s="528">
        <f t="shared" si="4"/>
        <v>200</v>
      </c>
      <c r="M49" s="530">
        <f t="shared" si="4"/>
        <v>69</v>
      </c>
    </row>
    <row r="50" ht="18.75" customHeight="1">
      <c r="A50" s="26" t="s">
        <v>192</v>
      </c>
    </row>
    <row r="51" ht="11.25">
      <c r="A51" s="26" t="s">
        <v>448</v>
      </c>
    </row>
    <row r="52" ht="11.25">
      <c r="A52" s="407" t="str">
        <f>"(*) inserire i dati comunicati nella tab.1 (colonna presenti al 31/12/"&amp;M1-1&amp;") della rilevazione dell'anno precedente"</f>
        <v>(*) inserire i dati comunicati nella tab.1 (colonna presenti al 31/12/2008) della rilevazione dell'anno precedente</v>
      </c>
    </row>
    <row r="53" ht="11.25">
      <c r="A53" s="5" t="s">
        <v>162</v>
      </c>
    </row>
  </sheetData>
  <sheetProtection password="EA98" sheet="1" formatColumns="0" selectLockedCells="1"/>
  <mergeCells count="5">
    <mergeCell ref="C3:M3"/>
    <mergeCell ref="J2:M2"/>
    <mergeCell ref="A1:K1"/>
    <mergeCell ref="A4:A5"/>
    <mergeCell ref="B4:B5"/>
  </mergeCells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P14"/>
  <sheetViews>
    <sheetView showGridLines="0" zoomScalePageLayoutView="0" workbookViewId="0" topLeftCell="A1">
      <selection activeCell="O9" sqref="O9"/>
    </sheetView>
  </sheetViews>
  <sheetFormatPr defaultColWidth="9.33203125" defaultRowHeight="10.5"/>
  <cols>
    <col min="1" max="1" width="33" style="5" customWidth="1"/>
    <col min="2" max="2" width="13.33203125" style="7" customWidth="1"/>
    <col min="3" max="8" width="11.16015625" style="5" customWidth="1"/>
    <col min="9" max="16" width="10.83203125" style="5" customWidth="1"/>
    <col min="17" max="16384" width="9.33203125" style="5" customWidth="1"/>
  </cols>
  <sheetData>
    <row r="1" spans="1:13" ht="43.5" customHeight="1">
      <c r="A1" s="1392" t="str">
        <f>'t1'!A1</f>
        <v>COMPARTO REGIONI ED AUTONOMIE LOCALI</v>
      </c>
      <c r="B1" s="1392"/>
      <c r="C1" s="1392"/>
      <c r="D1" s="1392"/>
      <c r="E1" s="1392"/>
      <c r="F1" s="1392"/>
      <c r="G1" s="1392"/>
      <c r="H1" s="1392"/>
      <c r="I1" s="1392"/>
      <c r="J1" s="1392"/>
      <c r="K1" s="3"/>
      <c r="L1" s="370"/>
      <c r="M1"/>
    </row>
    <row r="2" spans="1:12" ht="30" customHeight="1" thickBot="1">
      <c r="A2" s="6"/>
      <c r="G2" s="1397"/>
      <c r="H2" s="1397"/>
      <c r="I2" s="1397"/>
      <c r="J2" s="1397"/>
      <c r="K2" s="1397"/>
      <c r="L2" s="1397"/>
    </row>
    <row r="3" spans="1:16" ht="24.75" customHeight="1" thickBot="1">
      <c r="A3" s="12"/>
      <c r="B3" s="13"/>
      <c r="C3" s="111" t="s">
        <v>270</v>
      </c>
      <c r="D3" s="14"/>
      <c r="E3" s="14"/>
      <c r="F3" s="14"/>
      <c r="G3" s="14"/>
      <c r="H3" s="14"/>
      <c r="I3" s="14"/>
      <c r="J3" s="14"/>
      <c r="K3" s="14"/>
      <c r="L3" s="107"/>
      <c r="M3" s="321"/>
      <c r="N3" s="321"/>
      <c r="O3" s="321"/>
      <c r="P3" s="322"/>
    </row>
    <row r="4" spans="1:16" ht="52.5" customHeight="1" thickTop="1">
      <c r="A4" s="113" t="s">
        <v>107</v>
      </c>
      <c r="B4" s="114" t="s">
        <v>74</v>
      </c>
      <c r="C4" s="20" t="s">
        <v>137</v>
      </c>
      <c r="D4" s="115"/>
      <c r="E4" s="20" t="s">
        <v>138</v>
      </c>
      <c r="F4" s="115"/>
      <c r="G4" s="20" t="s">
        <v>49</v>
      </c>
      <c r="H4" s="115"/>
      <c r="I4" s="20" t="s">
        <v>139</v>
      </c>
      <c r="J4" s="115"/>
      <c r="K4" s="20" t="s">
        <v>557</v>
      </c>
      <c r="L4" s="366"/>
      <c r="M4" s="142" t="s">
        <v>907</v>
      </c>
      <c r="N4" s="366"/>
      <c r="O4" s="142" t="s">
        <v>908</v>
      </c>
      <c r="P4" s="366"/>
    </row>
    <row r="5" spans="1:16" ht="20.25" customHeight="1" thickBot="1">
      <c r="A5" s="15"/>
      <c r="B5" s="19"/>
      <c r="C5" s="636" t="s">
        <v>76</v>
      </c>
      <c r="D5" s="637" t="s">
        <v>77</v>
      </c>
      <c r="E5" s="636" t="s">
        <v>76</v>
      </c>
      <c r="F5" s="637" t="s">
        <v>77</v>
      </c>
      <c r="G5" s="636" t="s">
        <v>76</v>
      </c>
      <c r="H5" s="637" t="s">
        <v>77</v>
      </c>
      <c r="I5" s="636" t="s">
        <v>76</v>
      </c>
      <c r="J5" s="637" t="s">
        <v>77</v>
      </c>
      <c r="K5" s="636" t="s">
        <v>76</v>
      </c>
      <c r="L5" s="638" t="s">
        <v>77</v>
      </c>
      <c r="M5" s="636" t="s">
        <v>76</v>
      </c>
      <c r="N5" s="638" t="s">
        <v>77</v>
      </c>
      <c r="O5" s="636" t="s">
        <v>76</v>
      </c>
      <c r="P5" s="638" t="s">
        <v>77</v>
      </c>
    </row>
    <row r="6" spans="1:16" ht="20.25" customHeight="1" thickTop="1">
      <c r="A6" s="592" t="s">
        <v>316</v>
      </c>
      <c r="B6" s="593" t="s">
        <v>317</v>
      </c>
      <c r="C6" s="639">
        <v>1</v>
      </c>
      <c r="D6" s="633">
        <v>3</v>
      </c>
      <c r="E6" s="639"/>
      <c r="F6" s="633"/>
      <c r="G6" s="639"/>
      <c r="H6" s="633"/>
      <c r="I6" s="639"/>
      <c r="J6" s="633"/>
      <c r="K6" s="639"/>
      <c r="L6" s="634"/>
      <c r="M6" s="639">
        <v>5</v>
      </c>
      <c r="N6" s="634"/>
      <c r="O6" s="639"/>
      <c r="P6" s="634"/>
    </row>
    <row r="7" spans="1:16" ht="20.25" customHeight="1">
      <c r="A7" s="592" t="s">
        <v>318</v>
      </c>
      <c r="B7" s="594" t="s">
        <v>319</v>
      </c>
      <c r="C7" s="629">
        <v>86</v>
      </c>
      <c r="D7" s="630">
        <v>134</v>
      </c>
      <c r="E7" s="629"/>
      <c r="F7" s="630"/>
      <c r="G7" s="629"/>
      <c r="H7" s="630"/>
      <c r="I7" s="629">
        <v>2</v>
      </c>
      <c r="J7" s="630">
        <v>2</v>
      </c>
      <c r="K7" s="629"/>
      <c r="L7" s="631"/>
      <c r="M7" s="629">
        <v>16</v>
      </c>
      <c r="N7" s="631"/>
      <c r="O7" s="629">
        <v>13</v>
      </c>
      <c r="P7" s="631"/>
    </row>
    <row r="8" spans="1:16" ht="20.25" customHeight="1">
      <c r="A8" s="592" t="s">
        <v>320</v>
      </c>
      <c r="B8" s="594" t="s">
        <v>321</v>
      </c>
      <c r="C8" s="632">
        <v>59</v>
      </c>
      <c r="D8" s="633">
        <v>47</v>
      </c>
      <c r="E8" s="632"/>
      <c r="F8" s="633"/>
      <c r="G8" s="632"/>
      <c r="H8" s="633"/>
      <c r="I8" s="632">
        <v>3</v>
      </c>
      <c r="J8" s="633">
        <v>2</v>
      </c>
      <c r="K8" s="632"/>
      <c r="L8" s="634"/>
      <c r="M8" s="632">
        <v>18</v>
      </c>
      <c r="N8" s="634"/>
      <c r="O8" s="632">
        <v>5</v>
      </c>
      <c r="P8" s="634"/>
    </row>
    <row r="9" spans="1:16" ht="20.25" customHeight="1">
      <c r="A9" s="592" t="s">
        <v>402</v>
      </c>
      <c r="B9" s="594" t="s">
        <v>403</v>
      </c>
      <c r="C9" s="635">
        <v>1</v>
      </c>
      <c r="D9" s="630">
        <v>1</v>
      </c>
      <c r="E9" s="635"/>
      <c r="F9" s="630"/>
      <c r="G9" s="635"/>
      <c r="H9" s="630"/>
      <c r="I9" s="635"/>
      <c r="J9" s="630"/>
      <c r="K9" s="635"/>
      <c r="L9" s="631"/>
      <c r="M9" s="635"/>
      <c r="N9" s="631"/>
      <c r="O9" s="635"/>
      <c r="P9" s="631"/>
    </row>
    <row r="10" spans="1:16" ht="20.25" customHeight="1" thickBot="1">
      <c r="A10" s="592" t="s">
        <v>322</v>
      </c>
      <c r="B10" s="595" t="s">
        <v>323</v>
      </c>
      <c r="C10" s="635"/>
      <c r="D10" s="630"/>
      <c r="E10" s="635"/>
      <c r="F10" s="630"/>
      <c r="G10" s="635"/>
      <c r="H10" s="630"/>
      <c r="I10" s="635"/>
      <c r="J10" s="630"/>
      <c r="K10" s="635"/>
      <c r="L10" s="631"/>
      <c r="M10" s="635"/>
      <c r="N10" s="631"/>
      <c r="O10" s="635"/>
      <c r="P10" s="631"/>
    </row>
    <row r="11" spans="1:16" ht="33" customHeight="1" thickBot="1" thickTop="1">
      <c r="A11" s="18" t="s">
        <v>78</v>
      </c>
      <c r="B11" s="16"/>
      <c r="C11" s="640">
        <f aca="true" t="shared" si="0" ref="C11:L11">SUM(C6:C10)</f>
        <v>147</v>
      </c>
      <c r="D11" s="641">
        <f t="shared" si="0"/>
        <v>185</v>
      </c>
      <c r="E11" s="640">
        <f t="shared" si="0"/>
        <v>0</v>
      </c>
      <c r="F11" s="641">
        <f t="shared" si="0"/>
        <v>0</v>
      </c>
      <c r="G11" s="640">
        <f t="shared" si="0"/>
        <v>0</v>
      </c>
      <c r="H11" s="641">
        <f t="shared" si="0"/>
        <v>0</v>
      </c>
      <c r="I11" s="640">
        <f t="shared" si="0"/>
        <v>5</v>
      </c>
      <c r="J11" s="641">
        <f t="shared" si="0"/>
        <v>4</v>
      </c>
      <c r="K11" s="640">
        <f t="shared" si="0"/>
        <v>0</v>
      </c>
      <c r="L11" s="642">
        <f t="shared" si="0"/>
        <v>0</v>
      </c>
      <c r="M11" s="640">
        <f>SUM(M6:M10)</f>
        <v>39</v>
      </c>
      <c r="N11" s="642">
        <f>SUM(N6:N10)</f>
        <v>0</v>
      </c>
      <c r="O11" s="640">
        <f>SUM(O6:O10)</f>
        <v>18</v>
      </c>
      <c r="P11" s="642">
        <f>SUM(P6:P10)</f>
        <v>0</v>
      </c>
    </row>
    <row r="12" spans="1:12" ht="8.25" customHeight="1">
      <c r="A12" s="8"/>
      <c r="B12" s="9"/>
      <c r="C12" s="10"/>
      <c r="D12" s="11"/>
      <c r="E12" s="10"/>
      <c r="F12" s="11"/>
      <c r="G12" s="10"/>
      <c r="H12" s="11"/>
      <c r="I12" s="10"/>
      <c r="J12" s="11"/>
      <c r="K12" s="10"/>
      <c r="L12" s="11"/>
    </row>
    <row r="13" ht="12.75">
      <c r="A13" s="108" t="s">
        <v>140</v>
      </c>
    </row>
    <row r="14" ht="12.75">
      <c r="A14" s="108" t="s">
        <v>141</v>
      </c>
    </row>
  </sheetData>
  <sheetProtection password="EA98" sheet="1" formatColumns="0" selectLockedCells="1"/>
  <mergeCells count="2">
    <mergeCell ref="G2:L2"/>
    <mergeCell ref="A1:J1"/>
  </mergeCells>
  <dataValidations count="1">
    <dataValidation type="decimal" allowBlank="1" showInputMessage="1" showErrorMessage="1" promptTitle="ATTENZIONE!" prompt="Inserire solo decimali con due cifre dopo la virgola" sqref="C6:P10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PC_SITO</cp:lastModifiedBy>
  <cp:lastPrinted>2011-02-28T10:43:57Z</cp:lastPrinted>
  <dcterms:created xsi:type="dcterms:W3CDTF">1998-10-29T14:18:41Z</dcterms:created>
  <dcterms:modified xsi:type="dcterms:W3CDTF">2011-02-28T10:45:36Z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